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https://tranetechnologies-my.sharepoint.com/personal/jmurphy_trane_com/Documents/Documents/Applications/Support/Industry Standards and Codes/ASHRAE Standard 15 and 34/Vent line sizing/"/>
    </mc:Choice>
  </mc:AlternateContent>
  <xr:revisionPtr revIDLastSave="43" documentId="11_E0349E455B161406292C0CA43B644A1CBE1D80FA" xr6:coauthVersionLast="47" xr6:coauthVersionMax="47" xr10:uidLastSave="{DB3C370E-43A6-4ADE-96ED-BAA7A1B81BD0}"/>
  <bookViews>
    <workbookView xWindow="22932" yWindow="-108" windowWidth="23256" windowHeight="12456" tabRatio="675" xr2:uid="{00000000-000D-0000-FFFF-FFFF00000000}"/>
  </bookViews>
  <sheets>
    <sheet name="Single Relief Device" sheetId="1" r:id="rId1"/>
    <sheet name="Headered identical reliefs" sheetId="2" r:id="rId2"/>
    <sheet name="Headered different reliefs" sheetId="4" r:id="rId3"/>
  </sheets>
  <definedNames>
    <definedName name="_xlnm.Print_Area" localSheetId="2">'Headered different reliefs'!$A$1:$G$34</definedName>
    <definedName name="_xlnm.Print_Area" localSheetId="1">'Headered identical reliefs'!$A$1:$B$33</definedName>
    <definedName name="_xlnm.Print_Area" localSheetId="0">'Single Relief Device'!$A$1:$B$19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4" l="1"/>
  <c r="F18" i="4"/>
  <c r="G18" i="4"/>
  <c r="B29" i="4" l="1"/>
  <c r="B42" i="4" s="1"/>
  <c r="B29" i="2"/>
  <c r="B41" i="2" s="1"/>
  <c r="B17" i="2"/>
  <c r="B16" i="2"/>
  <c r="B16" i="1"/>
  <c r="B15" i="1"/>
  <c r="B16" i="4"/>
  <c r="C16" i="4"/>
  <c r="D16" i="4"/>
  <c r="E16" i="4"/>
  <c r="E20" i="4" s="1"/>
  <c r="E21" i="4" s="1"/>
  <c r="F16" i="4"/>
  <c r="F20" i="4" s="1"/>
  <c r="F21" i="4" s="1"/>
  <c r="G16" i="4"/>
  <c r="G20" i="4"/>
  <c r="G21" i="4" s="1"/>
  <c r="G17" i="4"/>
  <c r="F17" i="4"/>
  <c r="E17" i="4"/>
  <c r="D17" i="4"/>
  <c r="C17" i="4"/>
  <c r="B17" i="4"/>
  <c r="B39" i="2"/>
  <c r="B40" i="2" s="1"/>
  <c r="B30" i="4"/>
  <c r="C40" i="4"/>
  <c r="E40" i="4"/>
  <c r="F40" i="4"/>
  <c r="G40" i="4"/>
  <c r="D40" i="4"/>
  <c r="B40" i="4"/>
  <c r="G12" i="4"/>
  <c r="G11" i="4"/>
  <c r="G10" i="4"/>
  <c r="F12" i="4"/>
  <c r="F11" i="4"/>
  <c r="F10" i="4"/>
  <c r="E12" i="4"/>
  <c r="E11" i="4"/>
  <c r="E10" i="4"/>
  <c r="D12" i="4"/>
  <c r="D11" i="4"/>
  <c r="D10" i="4"/>
  <c r="C12" i="4"/>
  <c r="C11" i="4"/>
  <c r="C10" i="4"/>
  <c r="B12" i="4"/>
  <c r="B11" i="4"/>
  <c r="B10" i="4"/>
  <c r="C14" i="2"/>
  <c r="B12" i="2"/>
  <c r="B11" i="2"/>
  <c r="B10" i="2"/>
  <c r="B11" i="1"/>
  <c r="B10" i="1"/>
  <c r="C13" i="1"/>
  <c r="B9" i="1"/>
  <c r="C18" i="4" l="1"/>
  <c r="D20" i="4"/>
  <c r="D18" i="4"/>
  <c r="D23" i="4" s="1"/>
  <c r="C20" i="4"/>
  <c r="B20" i="4"/>
  <c r="B18" i="4"/>
  <c r="B30" i="2"/>
  <c r="B18" i="1"/>
  <c r="B31" i="4"/>
  <c r="B18" i="2"/>
  <c r="B20" i="2"/>
  <c r="B31" i="2"/>
  <c r="B41" i="4"/>
  <c r="C21" i="4" l="1"/>
  <c r="B21" i="2"/>
  <c r="B21" i="4"/>
  <c r="D21" i="4"/>
  <c r="C23" i="4"/>
  <c r="B23" i="4"/>
  <c r="B32" i="4"/>
  <c r="B23" i="2"/>
  <c r="C21" i="2"/>
  <c r="F23" i="4" l="1"/>
  <c r="G23" i="4"/>
  <c r="E23" i="4"/>
  <c r="B32" i="2"/>
  <c r="B33" i="2" s="1"/>
  <c r="B24" i="4"/>
  <c r="B33" i="4" l="1"/>
  <c r="B34"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8" authorId="0" shapeId="0" xr:uid="{DD87A8C3-8EFE-4F5A-8E08-C14F929C3CBC}">
      <text>
        <r>
          <rPr>
            <sz val="9"/>
            <color indexed="81"/>
            <rFont val="Tahoma"/>
            <family val="2"/>
          </rPr>
          <t>per Appendix E, 
ASHRAE Standard 15-2010</t>
        </r>
      </text>
    </comment>
    <comment ref="G15" authorId="1" shapeId="0" xr:uid="{00000000-0006-0000-0000-000001000000}">
      <text>
        <r>
          <rPr>
            <sz val="8"/>
            <color indexed="81"/>
            <rFont val="Tahoma"/>
            <family val="2"/>
          </rPr>
          <t>Moody friction factor
(fully turbulent flow)</t>
        </r>
      </text>
    </comment>
    <comment ref="G27" authorId="2" shapeId="0" xr:uid="{00000000-0006-0000-0000-000002000000}">
      <text>
        <r>
          <rPr>
            <sz val="8"/>
            <color indexed="81"/>
            <rFont val="Tahoma"/>
            <family val="2"/>
          </rPr>
          <t>Data for 0.5- through 6-inch pipe is from Appendix E in ASHRAE Standard 15-2010. Data for 8- through 14-inch pipe is from Crane Technical Paper No. 410.</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C9" authorId="0" shapeId="0" xr:uid="{448E0D48-F93E-4B81-ADDF-CC1ED1EBA757}">
      <text>
        <r>
          <rPr>
            <sz val="9"/>
            <color indexed="81"/>
            <rFont val="Tahoma"/>
            <family val="2"/>
          </rPr>
          <t>per Appendix E, 
ASHRAE Standard 15-2010</t>
        </r>
      </text>
    </comment>
    <comment ref="H16" authorId="1" shapeId="0" xr:uid="{00000000-0006-0000-0100-000001000000}">
      <text>
        <r>
          <rPr>
            <sz val="8"/>
            <color indexed="81"/>
            <rFont val="Tahoma"/>
            <family val="2"/>
          </rPr>
          <t>Moody friction factor
(fully turbulent flow)</t>
        </r>
      </text>
    </comment>
    <comment ref="B18" authorId="1" shapeId="0" xr:uid="{00000000-0006-0000-0100-000002000000}">
      <text>
        <r>
          <rPr>
            <sz val="8"/>
            <color indexed="81"/>
            <rFont val="Tahoma"/>
            <family val="2"/>
          </rPr>
          <t>Right-hand side of Equation 20 from the ASHRAE Standard 15-2001 User's Manual (pg 70)…see example H4</t>
        </r>
      </text>
    </comment>
    <comment ref="B20" authorId="1" shapeId="0" xr:uid="{00000000-0006-0000-0100-000003000000}">
      <text>
        <r>
          <rPr>
            <sz val="8"/>
            <color indexed="81"/>
            <rFont val="Tahoma"/>
            <family val="2"/>
          </rPr>
          <t>Left-hand side of Equation 20 from the ASHRAE Standard 15-2001 User's Manual (pg 70)…see example H4</t>
        </r>
      </text>
    </comment>
    <comment ref="H28" authorId="2" shapeId="0" xr:uid="{00000000-0006-0000-0100-000004000000}">
      <text>
        <r>
          <rPr>
            <sz val="8"/>
            <color indexed="81"/>
            <rFont val="Tahoma"/>
            <family val="2"/>
          </rPr>
          <t>Data for 0.5- through 6-inch pipe is from Appendix E in ASHRAE Standard 15-2010. Data for 8- through 14-inch pipe is from Crane Technical Paper No. 410.</t>
        </r>
        <r>
          <rPr>
            <sz val="8"/>
            <color indexed="81"/>
            <rFont val="Tahoma"/>
            <family val="2"/>
          </rPr>
          <t xml:space="preserve">
</t>
        </r>
      </text>
    </comment>
    <comment ref="B30" authorId="1" shapeId="0" xr:uid="{00000000-0006-0000-0100-000005000000}">
      <text>
        <r>
          <rPr>
            <sz val="8"/>
            <color indexed="81"/>
            <rFont val="Tahoma"/>
            <family val="2"/>
          </rPr>
          <t>Left-hand side of Equation 20 from the ASHRAE Standard 15-2001 User's Manual (pg 70)…see example H4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Murphy, John</author>
    <author>John Murphy</author>
    <author>The Galactic Emperor</author>
  </authors>
  <commentList>
    <comment ref="H9" authorId="0" shapeId="0" xr:uid="{4CFEAA94-E600-493D-A239-A7811AE431B3}">
      <text>
        <r>
          <rPr>
            <sz val="9"/>
            <color indexed="81"/>
            <rFont val="Tahoma"/>
            <family val="2"/>
          </rPr>
          <t>per Appendix E, 
ASHRAE Standard 15-2010</t>
        </r>
      </text>
    </comment>
    <comment ref="K16" authorId="1" shapeId="0" xr:uid="{00000000-0006-0000-0200-000001000000}">
      <text>
        <r>
          <rPr>
            <sz val="8"/>
            <color indexed="81"/>
            <rFont val="Tahoma"/>
            <family val="2"/>
          </rPr>
          <t>Moody friction factor
(fully turbulent flow)</t>
        </r>
      </text>
    </comment>
    <comment ref="A18" authorId="1" shapeId="0" xr:uid="{00000000-0006-0000-0200-000002000000}">
      <text>
        <r>
          <rPr>
            <sz val="8"/>
            <color indexed="81"/>
            <rFont val="Tahoma"/>
            <family val="2"/>
          </rPr>
          <t>Right-hand side of Equation 20 from the ASHRAE Standard 15-2001 User's Manual (p. 70)…see example H5</t>
        </r>
      </text>
    </comment>
    <comment ref="A20" authorId="1" shapeId="0" xr:uid="{00000000-0006-0000-0200-000003000000}">
      <text>
        <r>
          <rPr>
            <sz val="8"/>
            <color indexed="81"/>
            <rFont val="Tahoma"/>
            <family val="2"/>
          </rPr>
          <t>Left-hand side of Equation 20 from the ASHRAE Standard 15-2001 User's Manual (p. 70)…see example H5</t>
        </r>
      </text>
    </comment>
    <comment ref="K28" authorId="2" shapeId="0" xr:uid="{00000000-0006-0000-0200-000004000000}">
      <text>
        <r>
          <rPr>
            <sz val="8"/>
            <color indexed="81"/>
            <rFont val="Tahoma"/>
            <family val="2"/>
          </rPr>
          <t>Data for 0.5- through 6-inch pipe is from Appendix D in ASHRAE Standard 15-2019. Data for 8- through 14-inch pipe is from Crane Technical Paper No. 410.</t>
        </r>
      </text>
    </comment>
    <comment ref="A31" authorId="1" shapeId="0" xr:uid="{00000000-0006-0000-0200-000005000000}">
      <text>
        <r>
          <rPr>
            <sz val="8"/>
            <color indexed="81"/>
            <rFont val="Tahoma"/>
            <family val="2"/>
          </rPr>
          <t>Left-hand side of Equation 20 from the ASHRAE Standard 15-2001 User's Manual (p. 70)…see example H5</t>
        </r>
      </text>
    </comment>
  </commentList>
</comments>
</file>

<file path=xl/sharedStrings.xml><?xml version="1.0" encoding="utf-8"?>
<sst xmlns="http://schemas.openxmlformats.org/spreadsheetml/2006/main" count="166" uniqueCount="91">
  <si>
    <t>f</t>
  </si>
  <si>
    <t>Relief device description</t>
  </si>
  <si>
    <t>For a single relief device:</t>
  </si>
  <si>
    <t xml:space="preserve">  Inside diameter of pipe, d (in.)</t>
  </si>
  <si>
    <t xml:space="preserve">  Moody friction factor for pipe, f</t>
  </si>
  <si>
    <t xml:space="preserve">    Moody friction factor for pipe, f</t>
  </si>
  <si>
    <r>
      <t>Relief device description</t>
    </r>
    <r>
      <rPr>
        <b/>
        <sz val="10"/>
        <color indexed="10"/>
        <rFont val="Arial"/>
        <family val="2"/>
      </rPr>
      <t>*</t>
    </r>
  </si>
  <si>
    <t>* Note: All relief devices must have the same Cr, P, and relief device diameter.</t>
  </si>
  <si>
    <t xml:space="preserve">  "Resource" available</t>
  </si>
  <si>
    <t xml:space="preserve">  "Resource" required</t>
  </si>
  <si>
    <t xml:space="preserve">  "Resource" remaining</t>
  </si>
  <si>
    <t xml:space="preserve">  Diameter OK based on area?</t>
  </si>
  <si>
    <t xml:space="preserve">  Diameter OK based on "resource"?</t>
  </si>
  <si>
    <t>Device 1</t>
  </si>
  <si>
    <t>Device 2</t>
  </si>
  <si>
    <t>Device 3</t>
  </si>
  <si>
    <t>Device 4</t>
  </si>
  <si>
    <t>Device 5</t>
  </si>
  <si>
    <t>Device 6</t>
  </si>
  <si>
    <t xml:space="preserve">  Critical "resource" remaining</t>
  </si>
  <si>
    <t>* Note: Entries on rows 5, 7, and 15 must be left blank for unused device columns.</t>
  </si>
  <si>
    <t>Pipe cross-sectional area calculations</t>
  </si>
  <si>
    <t>required entries are highlighted</t>
  </si>
  <si>
    <t xml:space="preserve">    Inside diameter of feeder pipe, d (in.)</t>
  </si>
  <si>
    <t>Diameter of feeder pipe is:</t>
  </si>
  <si>
    <t>cross-sectional area of relief device</t>
  </si>
  <si>
    <t>sum of relief device cross-sectional areas</t>
  </si>
  <si>
    <t>"Resource" required in the feeder pipe</t>
  </si>
  <si>
    <t>connected to a common header:</t>
  </si>
  <si>
    <t>Diameter of header pipe is:</t>
  </si>
  <si>
    <t>"Resource" required in the header pipe</t>
  </si>
  <si>
    <t>cross-sectional area of the header pipe</t>
  </si>
  <si>
    <t>connected to a common header</t>
  </si>
  <si>
    <r>
      <t xml:space="preserve">For </t>
    </r>
    <r>
      <rPr>
        <b/>
        <i/>
        <sz val="12"/>
        <rFont val="Arial"/>
        <family val="2"/>
      </rPr>
      <t>different</t>
    </r>
    <r>
      <rPr>
        <b/>
        <sz val="12"/>
        <rFont val="Arial"/>
        <family val="2"/>
      </rPr>
      <t xml:space="preserve"> relief devices</t>
    </r>
  </si>
  <si>
    <r>
      <t xml:space="preserve">For </t>
    </r>
    <r>
      <rPr>
        <b/>
        <i/>
        <sz val="12"/>
        <rFont val="Arial"/>
        <family val="2"/>
      </rPr>
      <t>identical</t>
    </r>
    <r>
      <rPr>
        <b/>
        <sz val="12"/>
        <rFont val="Arial"/>
        <family val="2"/>
      </rPr>
      <t xml:space="preserve"> relief devices</t>
    </r>
  </si>
  <si>
    <t xml:space="preserve">  Absolute pressure at discharge, P2 (psia)</t>
  </si>
  <si>
    <t xml:space="preserve">  Discharge capacity, Cr (lb/min)</t>
  </si>
  <si>
    <t xml:space="preserve">  Relief device outlet diameter (in.)</t>
  </si>
  <si>
    <t xml:space="preserve">  Allowed back pressure at device outlet, P0 (psia)</t>
  </si>
  <si>
    <t>Relief device is designed to open at this pressure</t>
  </si>
  <si>
    <t>Absolute (atmospheric) pressure at outlet of discharge piping (sea level = 14.7 psia)</t>
  </si>
  <si>
    <t>Refrigerant discharge capacity, as stamped on device or calculated by manufacturer</t>
  </si>
  <si>
    <t>Inside diameter of relief device outlet</t>
  </si>
  <si>
    <t>As specified by manufacturer, or selected from following calculations:</t>
  </si>
  <si>
    <t xml:space="preserve">   for a balanced relief valve (0.25 x P + atmospheric pressure)</t>
  </si>
  <si>
    <t>Discharge pipe</t>
  </si>
  <si>
    <t xml:space="preserve">  Nominal pipe size (NPS)</t>
  </si>
  <si>
    <t>Allowable equivalent length of pipe, L (ft.)</t>
  </si>
  <si>
    <t>Value d from table at right for selected NPS (fills in automatically)</t>
  </si>
  <si>
    <t>Value f from table at right for selected NPS (fills in automatically)</t>
  </si>
  <si>
    <t>Maximum allowable equivalent length of discharge pipe for the entered NPS</t>
  </si>
  <si>
    <t>(per Appendix E, ASHRAE Standard 15-2010)</t>
  </si>
  <si>
    <t xml:space="preserve">  Set pressure, P (psig)</t>
  </si>
  <si>
    <t>Table E-1, ASHRAE 15-2010</t>
  </si>
  <si>
    <t>NPS, in.</t>
  </si>
  <si>
    <t>ID (d), in.</t>
  </si>
  <si>
    <t>Feeder pipe from relief device outlet to header</t>
  </si>
  <si>
    <t xml:space="preserve">  Nominal pipe size (NPS) of feeder pipe</t>
  </si>
  <si>
    <t xml:space="preserve">  Length of feeder pipe, L (ft.)</t>
  </si>
  <si>
    <t>"Resource" available to be used in both feeder and common header pipes</t>
  </si>
  <si>
    <t>Enter equivalent length of feeder pipe from relief device outlet to common header</t>
  </si>
  <si>
    <t>"Resource" available to be used in common header pipe</t>
  </si>
  <si>
    <t>Common header pipe from feeders to outside</t>
  </si>
  <si>
    <t xml:space="preserve">  # of equal relief devices feeding common header</t>
  </si>
  <si>
    <t xml:space="preserve">  Length of header pipe, L (ft.)</t>
  </si>
  <si>
    <t xml:space="preserve">  Nominal pipe size (NPS) of header pipe</t>
  </si>
  <si>
    <t xml:space="preserve">    Inside diameter of header pipe, d (in.)</t>
  </si>
  <si>
    <t>Relief devices must be same type, with same Cr, P, and device outlet diameter</t>
  </si>
  <si>
    <t>Enter equivalent length of header pipe leading to discharge outside</t>
  </si>
  <si>
    <t>Pick NPS from dropdown list</t>
  </si>
  <si>
    <t>Feeder 1</t>
  </si>
  <si>
    <t>Feeder 2</t>
  </si>
  <si>
    <t>Feeder 3</t>
  </si>
  <si>
    <t>Feeder 4</t>
  </si>
  <si>
    <t>Feeder 5</t>
  </si>
  <si>
    <t>Feeder 6</t>
  </si>
  <si>
    <t>Enter equivalent length of feeder pipe from the relief device outlet to common header</t>
  </si>
  <si>
    <t>"Resource" remaining to be used in common header pipe</t>
  </si>
  <si>
    <t>Lowest "resource" remaining from individual feeder pipes calculations</t>
  </si>
  <si>
    <t xml:space="preserve">  Sum of Cr for all relief devices (lb/min)</t>
  </si>
  <si>
    <r>
      <t>Explanation</t>
    </r>
    <r>
      <rPr>
        <sz val="10"/>
        <rFont val="Arial"/>
        <family val="2"/>
      </rPr>
      <t xml:space="preserve"> (see Trane application manual APP-APM001-EN, dated Sep 2012)</t>
    </r>
  </si>
  <si>
    <t>Trane believes the facts and suggestions presented here to be accurate. However, final design and application decisions are your responsibility. Trane disclaims any responsibility for actions taken on the material presented.</t>
  </si>
  <si>
    <t xml:space="preserve">   for a conventional relief valve (0.15 x P + atmospheric pressure), including RuptureGuard</t>
  </si>
  <si>
    <t xml:space="preserve">   for a rupture disk alone, fusible plug, or pilot-operated valve (0.50 x P + atmospheric pressure)</t>
  </si>
  <si>
    <r>
      <t xml:space="preserve">Pick NPS from dropdown list </t>
    </r>
    <r>
      <rPr>
        <sz val="10"/>
        <color rgb="FFFF0000"/>
        <rFont val="Arial"/>
        <family val="2"/>
      </rPr>
      <t>(must be &gt;= Relief device outlet diameter, Row 7)</t>
    </r>
  </si>
  <si>
    <r>
      <t xml:space="preserve">Pick NPS from dropdown list </t>
    </r>
    <r>
      <rPr>
        <sz val="10"/>
        <color rgb="FFFF0000"/>
        <rFont val="Arial"/>
        <family val="2"/>
      </rPr>
      <t>(must be &gt;= relief device outlet diameter, Row 8)</t>
    </r>
  </si>
  <si>
    <t>"Resource" required in the feeder pipe (Row 20) must be &lt; "Resource" available (Row 18)</t>
  </si>
  <si>
    <t>"Resource" required in the header pipe (Row 31) must be &lt; Critical "resource" remaining (Row 24)</t>
  </si>
  <si>
    <t>Cross-sectional area of header pipe (Row 42) must be &gt;= sum of relief device cross-sectional areas (Row 41)</t>
  </si>
  <si>
    <t>"Resource" required in the header pipe (Row 30) must be &lt; "Resource" remaining (Row 23)</t>
  </si>
  <si>
    <t>Cross-sectional area of header pipe (Row 41) must be &gt;= sum of relief device cross-sectional areas (Row 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</si>
</sst>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7" x14ac:knownFonts="1">
    <font>
      <sz val="10"/>
      <name val="Arial"/>
    </font>
    <font>
      <b/>
      <sz val="10"/>
      <name val="Arial"/>
      <family val="2"/>
    </font>
    <font>
      <b/>
      <sz val="10"/>
      <color indexed="10"/>
      <name val="Arial"/>
      <family val="2"/>
    </font>
    <font>
      <sz val="10"/>
      <color indexed="10"/>
      <name val="Arial"/>
      <family val="2"/>
    </font>
    <font>
      <sz val="10"/>
      <name val="Arial"/>
      <family val="2"/>
    </font>
    <font>
      <sz val="10"/>
      <color indexed="12"/>
      <name val="Arial"/>
      <family val="2"/>
    </font>
    <font>
      <b/>
      <sz val="10"/>
      <color indexed="8"/>
      <name val="Arial"/>
      <family val="2"/>
    </font>
    <font>
      <sz val="10"/>
      <color indexed="8"/>
      <name val="Arial"/>
      <family val="2"/>
    </font>
    <font>
      <sz val="10"/>
      <color indexed="17"/>
      <name val="Arial"/>
      <family val="2"/>
    </font>
    <font>
      <b/>
      <sz val="12"/>
      <name val="Arial"/>
      <family val="2"/>
    </font>
    <font>
      <sz val="8"/>
      <color indexed="81"/>
      <name val="Tahoma"/>
      <family val="2"/>
    </font>
    <font>
      <b/>
      <i/>
      <sz val="12"/>
      <name val="Arial"/>
      <family val="2"/>
    </font>
    <font>
      <sz val="8"/>
      <name val="Arial"/>
      <family val="2"/>
    </font>
    <font>
      <sz val="10"/>
      <color rgb="FFFF0000"/>
      <name val="Arial"/>
      <family val="2"/>
    </font>
    <font>
      <sz val="10"/>
      <color rgb="FF0070C0"/>
      <name val="Arial"/>
      <family val="2"/>
    </font>
    <font>
      <i/>
      <sz val="8"/>
      <name val="Arial"/>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9" fillId="0" borderId="0" xfId="0" applyFont="1" applyAlignment="1">
      <alignment vertical="center"/>
    </xf>
    <xf numFmtId="0" fontId="0" fillId="0" borderId="0" xfId="0" applyAlignment="1">
      <alignment vertical="center"/>
    </xf>
    <xf numFmtId="0" fontId="0" fillId="2" borderId="0" xfId="0" applyFill="1" applyAlignment="1">
      <alignment vertical="center"/>
    </xf>
    <xf numFmtId="0" fontId="3" fillId="0" borderId="0" xfId="0" applyFont="1" applyAlignment="1">
      <alignment vertical="center"/>
    </xf>
    <xf numFmtId="0" fontId="1" fillId="0" borderId="0" xfId="0" applyFont="1" applyAlignment="1">
      <alignment vertical="center"/>
    </xf>
    <xf numFmtId="0" fontId="1" fillId="2" borderId="9" xfId="0" applyFont="1" applyFill="1" applyBorder="1" applyAlignment="1">
      <alignment vertical="center"/>
    </xf>
    <xf numFmtId="0" fontId="0" fillId="0" borderId="0" xfId="0" applyAlignment="1">
      <alignment horizontal="left" vertical="center"/>
    </xf>
    <xf numFmtId="0" fontId="0" fillId="0" borderId="7" xfId="0" applyBorder="1" applyAlignment="1">
      <alignment vertical="center"/>
    </xf>
    <xf numFmtId="0" fontId="0" fillId="0" borderId="3" xfId="0" applyBorder="1" applyAlignment="1">
      <alignment horizontal="center"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5" fillId="0" borderId="0" xfId="0" applyFont="1" applyAlignment="1">
      <alignment horizontal="right" vertical="center"/>
    </xf>
    <xf numFmtId="0" fontId="4" fillId="0" borderId="4" xfId="0" applyFont="1" applyBorder="1" applyAlignment="1">
      <alignment vertical="center"/>
    </xf>
    <xf numFmtId="0" fontId="4" fillId="0" borderId="0" xfId="0" applyFont="1" applyAlignment="1">
      <alignment vertical="center"/>
    </xf>
    <xf numFmtId="166" fontId="4" fillId="0" borderId="5" xfId="0" applyNumberFormat="1"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2" fontId="4" fillId="0" borderId="4" xfId="0" applyNumberFormat="1" applyFont="1" applyBorder="1" applyAlignment="1">
      <alignment vertical="center"/>
    </xf>
    <xf numFmtId="0" fontId="4" fillId="0" borderId="5" xfId="0" applyFont="1" applyBorder="1" applyAlignment="1">
      <alignment vertical="center"/>
    </xf>
    <xf numFmtId="0" fontId="8" fillId="0" borderId="0" xfId="0" applyFont="1" applyAlignment="1">
      <alignment horizontal="right" vertical="center"/>
    </xf>
    <xf numFmtId="1" fontId="5" fillId="0" borderId="0" xfId="0" applyNumberFormat="1" applyFont="1" applyAlignment="1">
      <alignment horizontal="right" vertical="center"/>
    </xf>
    <xf numFmtId="165" fontId="4" fillId="0" borderId="7" xfId="0" applyNumberFormat="1" applyFont="1" applyBorder="1"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vertical="center"/>
    </xf>
    <xf numFmtId="1" fontId="5" fillId="0" borderId="0" xfId="0" applyNumberFormat="1" applyFont="1" applyAlignment="1">
      <alignment horizontal="center"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0" fillId="0" borderId="0" xfId="0" applyAlignment="1">
      <alignment horizontal="right" vertical="center"/>
    </xf>
    <xf numFmtId="0" fontId="3" fillId="0" borderId="0" xfId="0" applyFont="1" applyAlignment="1">
      <alignment horizontal="left" vertical="center"/>
    </xf>
    <xf numFmtId="2" fontId="7" fillId="0" borderId="0" xfId="0" applyNumberFormat="1" applyFont="1" applyAlignment="1">
      <alignment horizontal="center" vertical="center"/>
    </xf>
    <xf numFmtId="0" fontId="6" fillId="0" borderId="0" xfId="0" applyFont="1" applyAlignment="1">
      <alignment vertical="center"/>
    </xf>
    <xf numFmtId="0" fontId="1" fillId="0" borderId="1" xfId="0" applyFont="1" applyBorder="1" applyAlignment="1">
      <alignment vertical="center"/>
    </xf>
    <xf numFmtId="0" fontId="0" fillId="0" borderId="2" xfId="0"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vertical="center"/>
    </xf>
    <xf numFmtId="0" fontId="0" fillId="0" borderId="8" xfId="0" applyBorder="1" applyAlignment="1">
      <alignment vertical="center"/>
    </xf>
    <xf numFmtId="0" fontId="3" fillId="0" borderId="0" xfId="0" applyFont="1" applyAlignment="1">
      <alignment vertical="center" wrapText="1"/>
    </xf>
    <xf numFmtId="0" fontId="2" fillId="0" borderId="0" xfId="0" applyFont="1" applyAlignment="1">
      <alignment horizontal="right" vertical="center"/>
    </xf>
    <xf numFmtId="0" fontId="7" fillId="0" borderId="0" xfId="0" applyFont="1" applyAlignment="1">
      <alignment vertical="center"/>
    </xf>
    <xf numFmtId="0" fontId="5" fillId="0" borderId="0" xfId="0" applyFont="1" applyAlignment="1">
      <alignment vertical="center"/>
    </xf>
    <xf numFmtId="0" fontId="0" fillId="0" borderId="3" xfId="0" applyBorder="1" applyAlignment="1">
      <alignment vertical="center"/>
    </xf>
    <xf numFmtId="2" fontId="5" fillId="0" borderId="4" xfId="0" applyNumberFormat="1" applyFont="1" applyBorder="1" applyAlignment="1">
      <alignment vertical="center"/>
    </xf>
    <xf numFmtId="0" fontId="0" fillId="0" borderId="5" xfId="0" applyBorder="1" applyAlignment="1">
      <alignment vertical="center"/>
    </xf>
    <xf numFmtId="2" fontId="5" fillId="0" borderId="6" xfId="0" applyNumberFormat="1" applyFont="1" applyBorder="1" applyAlignment="1">
      <alignment vertical="center"/>
    </xf>
    <xf numFmtId="0" fontId="0" fillId="0" borderId="1" xfId="0" applyBorder="1" applyAlignment="1">
      <alignment vertical="center"/>
    </xf>
    <xf numFmtId="166" fontId="0" fillId="0" borderId="5" xfId="0" applyNumberFormat="1" applyBorder="1" applyAlignment="1">
      <alignment vertical="center"/>
    </xf>
    <xf numFmtId="164" fontId="2" fillId="0" borderId="0" xfId="0" applyNumberFormat="1" applyFont="1" applyAlignment="1">
      <alignment vertical="center"/>
    </xf>
    <xf numFmtId="2" fontId="3" fillId="0" borderId="0" xfId="0" applyNumberFormat="1" applyFont="1" applyAlignment="1">
      <alignment vertical="center"/>
    </xf>
    <xf numFmtId="165" fontId="0" fillId="0" borderId="7" xfId="0" applyNumberForma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 fillId="0" borderId="0" xfId="0" applyFont="1" applyAlignment="1">
      <alignment horizontal="center" vertical="center"/>
    </xf>
    <xf numFmtId="0" fontId="1" fillId="2" borderId="0" xfId="0" applyFont="1" applyFill="1" applyAlignment="1">
      <alignment vertical="center"/>
    </xf>
    <xf numFmtId="0" fontId="6" fillId="2" borderId="0" xfId="0" applyFont="1" applyFill="1" applyAlignment="1">
      <alignment horizontal="right" vertical="center"/>
    </xf>
    <xf numFmtId="2" fontId="14" fillId="0" borderId="0" xfId="0" applyNumberFormat="1" applyFont="1" applyAlignment="1">
      <alignment horizontal="center" vertical="center"/>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0" fontId="15" fillId="0" borderId="0" xfId="0" applyFont="1" applyAlignment="1">
      <alignment vertical="center"/>
    </xf>
    <xf numFmtId="0" fontId="12"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19</xdr:row>
      <xdr:rowOff>69850</xdr:rowOff>
    </xdr:from>
    <xdr:to>
      <xdr:col>0</xdr:col>
      <xdr:colOff>2862580</xdr:colOff>
      <xdr:row>24</xdr:row>
      <xdr:rowOff>12700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2763" r="12561" b="54400"/>
        <a:stretch/>
      </xdr:blipFill>
      <xdr:spPr>
        <a:xfrm>
          <a:off x="381000" y="3232150"/>
          <a:ext cx="2489200" cy="755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abSelected="1" workbookViewId="0"/>
  </sheetViews>
  <sheetFormatPr defaultColWidth="9.109375" defaultRowHeight="13.2" x14ac:dyDescent="0.25"/>
  <cols>
    <col min="1" max="1" width="41.77734375" style="2" bestFit="1" customWidth="1"/>
    <col min="2" max="2" width="9.109375" style="2"/>
    <col min="3" max="3" width="74.33203125" style="2" bestFit="1" customWidth="1"/>
    <col min="4" max="4" width="7.21875" style="2" customWidth="1"/>
    <col min="5" max="5" width="8" style="2" customWidth="1"/>
    <col min="6" max="6" width="8.33203125" style="2" bestFit="1" customWidth="1"/>
    <col min="7" max="7" width="9.109375" style="2" customWidth="1"/>
    <col min="8" max="16384" width="9.109375" style="2"/>
  </cols>
  <sheetData>
    <row r="1" spans="1:7" ht="15.6" x14ac:dyDescent="0.25">
      <c r="A1" s="1" t="s">
        <v>2</v>
      </c>
      <c r="C1" s="3" t="s">
        <v>22</v>
      </c>
    </row>
    <row r="2" spans="1:7" x14ac:dyDescent="0.25">
      <c r="A2" s="68" t="s">
        <v>81</v>
      </c>
    </row>
    <row r="3" spans="1:7" x14ac:dyDescent="0.25">
      <c r="A3" s="5" t="s">
        <v>1</v>
      </c>
      <c r="C3" s="5" t="s">
        <v>80</v>
      </c>
      <c r="D3" s="5"/>
    </row>
    <row r="4" spans="1:7" x14ac:dyDescent="0.25">
      <c r="A4" s="2" t="s">
        <v>52</v>
      </c>
      <c r="B4" s="63">
        <v>15</v>
      </c>
      <c r="C4" s="7" t="s">
        <v>39</v>
      </c>
      <c r="D4" s="7"/>
    </row>
    <row r="5" spans="1:7" x14ac:dyDescent="0.25">
      <c r="A5" s="15" t="s">
        <v>35</v>
      </c>
      <c r="B5" s="63">
        <v>14.7</v>
      </c>
      <c r="C5" s="15" t="s">
        <v>40</v>
      </c>
      <c r="D5" s="15"/>
    </row>
    <row r="6" spans="1:7" x14ac:dyDescent="0.25">
      <c r="A6" s="2" t="s">
        <v>36</v>
      </c>
      <c r="B6" s="63">
        <v>64</v>
      </c>
      <c r="C6" s="2" t="s">
        <v>41</v>
      </c>
    </row>
    <row r="7" spans="1:7" x14ac:dyDescent="0.25">
      <c r="A7" s="2" t="s">
        <v>37</v>
      </c>
      <c r="B7" s="64">
        <v>3</v>
      </c>
      <c r="C7" s="2" t="s">
        <v>42</v>
      </c>
    </row>
    <row r="8" spans="1:7" x14ac:dyDescent="0.25">
      <c r="A8" s="2" t="s">
        <v>38</v>
      </c>
      <c r="B8" s="63">
        <v>22.2</v>
      </c>
      <c r="C8" s="2" t="s">
        <v>43</v>
      </c>
    </row>
    <row r="9" spans="1:7" x14ac:dyDescent="0.25">
      <c r="B9" s="13">
        <f>(0.15*B4)+B5</f>
        <v>16.95</v>
      </c>
      <c r="C9" s="15" t="s">
        <v>82</v>
      </c>
      <c r="D9" s="15"/>
    </row>
    <row r="10" spans="1:7" x14ac:dyDescent="0.25">
      <c r="B10" s="13">
        <f>(0.25*B4)+B5</f>
        <v>18.45</v>
      </c>
      <c r="C10" s="2" t="s">
        <v>44</v>
      </c>
    </row>
    <row r="11" spans="1:7" x14ac:dyDescent="0.25">
      <c r="B11" s="13">
        <f>(0.5*B4)+B5</f>
        <v>22.2</v>
      </c>
      <c r="C11" s="15" t="s">
        <v>83</v>
      </c>
    </row>
    <row r="12" spans="1:7" x14ac:dyDescent="0.25">
      <c r="B12" s="13"/>
    </row>
    <row r="13" spans="1:7" x14ac:dyDescent="0.25">
      <c r="A13" s="5" t="s">
        <v>45</v>
      </c>
      <c r="C13" s="29" t="str">
        <f>IF(B14&lt;B7,"Relief pipe diameter must equal or exceed relief device diameter","")</f>
        <v/>
      </c>
      <c r="D13" s="29"/>
    </row>
    <row r="14" spans="1:7" ht="13.8" thickBot="1" x14ac:dyDescent="0.3">
      <c r="A14" s="2" t="s">
        <v>46</v>
      </c>
      <c r="B14" s="63">
        <v>3</v>
      </c>
      <c r="C14" s="15" t="s">
        <v>84</v>
      </c>
      <c r="D14" s="15"/>
      <c r="E14" s="5" t="s">
        <v>53</v>
      </c>
    </row>
    <row r="15" spans="1:7" ht="13.8" thickBot="1" x14ac:dyDescent="0.3">
      <c r="A15" s="2" t="s">
        <v>3</v>
      </c>
      <c r="B15" s="22">
        <f>LOOKUP(B14,E16:E30,F16:F30)</f>
        <v>3.0680000000000001</v>
      </c>
      <c r="C15" s="15" t="s">
        <v>48</v>
      </c>
      <c r="D15" s="15"/>
      <c r="E15" s="60" t="s">
        <v>54</v>
      </c>
      <c r="F15" s="61" t="s">
        <v>55</v>
      </c>
      <c r="G15" s="9" t="s">
        <v>0</v>
      </c>
    </row>
    <row r="16" spans="1:7" x14ac:dyDescent="0.25">
      <c r="A16" s="2" t="s">
        <v>4</v>
      </c>
      <c r="B16" s="22">
        <f>LOOKUP(B14,E16:E30,G16:G30)</f>
        <v>1.7299999999999999E-2</v>
      </c>
      <c r="C16" s="15" t="s">
        <v>49</v>
      </c>
      <c r="D16" s="15"/>
      <c r="E16" s="55">
        <v>0.5</v>
      </c>
      <c r="F16" s="39">
        <v>0.622</v>
      </c>
      <c r="G16" s="51">
        <v>2.5899999999999999E-2</v>
      </c>
    </row>
    <row r="17" spans="1:7" x14ac:dyDescent="0.25">
      <c r="E17" s="42">
        <v>0.75</v>
      </c>
      <c r="F17" s="2">
        <v>0.82399999999999995</v>
      </c>
      <c r="G17" s="56">
        <v>2.4E-2</v>
      </c>
    </row>
    <row r="18" spans="1:7" ht="13.8" thickBot="1" x14ac:dyDescent="0.3">
      <c r="A18" s="48" t="s">
        <v>47</v>
      </c>
      <c r="B18" s="57">
        <f>((0.2146*B15^5*(B8^2-B5^2))/(B16*B6^2))-((B15*LN(B8/B5))/(6*B16))</f>
        <v>215.6333662283966</v>
      </c>
      <c r="C18" s="15" t="s">
        <v>50</v>
      </c>
      <c r="D18" s="15"/>
      <c r="E18" s="45">
        <v>1</v>
      </c>
      <c r="F18" s="8">
        <v>1.0489999999999999</v>
      </c>
      <c r="G18" s="46">
        <v>2.2499999999999999E-2</v>
      </c>
    </row>
    <row r="19" spans="1:7" x14ac:dyDescent="0.25">
      <c r="A19" s="69" t="s">
        <v>51</v>
      </c>
      <c r="E19" s="42">
        <v>1.25</v>
      </c>
      <c r="F19" s="2">
        <v>1.38</v>
      </c>
      <c r="G19" s="53">
        <v>2.0899999999999998E-2</v>
      </c>
    </row>
    <row r="20" spans="1:7" x14ac:dyDescent="0.25">
      <c r="E20" s="42">
        <v>1.5</v>
      </c>
      <c r="F20" s="2">
        <v>1.61</v>
      </c>
      <c r="G20" s="53">
        <v>2.0199999999999999E-2</v>
      </c>
    </row>
    <row r="21" spans="1:7" ht="13.8" thickBot="1" x14ac:dyDescent="0.3">
      <c r="E21" s="42">
        <v>2</v>
      </c>
      <c r="F21" s="2">
        <v>2.0670000000000002</v>
      </c>
      <c r="G21" s="56">
        <v>1.9E-2</v>
      </c>
    </row>
    <row r="22" spans="1:7" x14ac:dyDescent="0.25">
      <c r="E22" s="55">
        <v>2.5</v>
      </c>
      <c r="F22" s="39">
        <v>2.4689999999999999</v>
      </c>
      <c r="G22" s="51">
        <v>1.8200000000000001E-2</v>
      </c>
    </row>
    <row r="23" spans="1:7" x14ac:dyDescent="0.25">
      <c r="A23" s="15"/>
      <c r="B23" s="5"/>
      <c r="E23" s="42">
        <v>3</v>
      </c>
      <c r="F23" s="2">
        <v>3.0680000000000001</v>
      </c>
      <c r="G23" s="53">
        <v>1.7299999999999999E-2</v>
      </c>
    </row>
    <row r="24" spans="1:7" ht="13.8" thickBot="1" x14ac:dyDescent="0.3">
      <c r="B24" s="58"/>
      <c r="E24" s="45">
        <v>4</v>
      </c>
      <c r="F24" s="8">
        <v>4.0259999999999998</v>
      </c>
      <c r="G24" s="46">
        <v>1.6299999999999999E-2</v>
      </c>
    </row>
    <row r="25" spans="1:7" x14ac:dyDescent="0.25">
      <c r="E25" s="42">
        <v>5</v>
      </c>
      <c r="F25" s="2">
        <v>5.0469999999999997</v>
      </c>
      <c r="G25" s="53">
        <v>1.55E-2</v>
      </c>
    </row>
    <row r="26" spans="1:7" ht="13.8" thickBot="1" x14ac:dyDescent="0.3">
      <c r="E26" s="45">
        <v>6</v>
      </c>
      <c r="F26" s="59">
        <v>6.0650000000000004</v>
      </c>
      <c r="G26" s="46">
        <v>1.49E-2</v>
      </c>
    </row>
    <row r="27" spans="1:7" x14ac:dyDescent="0.25">
      <c r="E27" s="25">
        <v>8</v>
      </c>
      <c r="F27" s="3">
        <v>7.9809999999999999</v>
      </c>
      <c r="G27" s="26">
        <v>1.41E-2</v>
      </c>
    </row>
    <row r="28" spans="1:7" x14ac:dyDescent="0.25">
      <c r="B28" s="7"/>
      <c r="E28" s="25">
        <v>10</v>
      </c>
      <c r="F28" s="3">
        <v>10.02</v>
      </c>
      <c r="G28" s="26">
        <v>1.35E-2</v>
      </c>
    </row>
    <row r="29" spans="1:7" x14ac:dyDescent="0.25">
      <c r="B29" s="7"/>
      <c r="E29" s="25">
        <v>12</v>
      </c>
      <c r="F29" s="3">
        <v>11.938000000000001</v>
      </c>
      <c r="G29" s="26">
        <v>1.3100000000000001E-2</v>
      </c>
    </row>
    <row r="30" spans="1:7" ht="13.8" thickBot="1" x14ac:dyDescent="0.3">
      <c r="B30" s="7"/>
      <c r="E30" s="31">
        <v>14</v>
      </c>
      <c r="F30" s="32">
        <v>13.124000000000001</v>
      </c>
      <c r="G30" s="33">
        <v>1.3299999999999999E-2</v>
      </c>
    </row>
    <row r="37" spans="1:1" x14ac:dyDescent="0.25">
      <c r="A37" s="5"/>
    </row>
    <row r="43" spans="1:1" x14ac:dyDescent="0.25">
      <c r="A43" s="5"/>
    </row>
    <row r="49" spans="1:1" x14ac:dyDescent="0.25">
      <c r="A49" s="5"/>
    </row>
  </sheetData>
  <phoneticPr fontId="12" type="noConversion"/>
  <dataValidations count="1">
    <dataValidation type="list" allowBlank="1" showInputMessage="1" showErrorMessage="1" sqref="B14" xr:uid="{00000000-0002-0000-0000-000000000000}">
      <formula1>$E$16:$E$30</formula1>
    </dataValidation>
  </dataValidations>
  <pageMargins left="0.75" right="0.75" top="1" bottom="1" header="0.5" footer="0.5"/>
  <pageSetup orientation="portrait" horizontalDpi="1200"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zoomScale="90" zoomScaleNormal="90" workbookViewId="0"/>
  </sheetViews>
  <sheetFormatPr defaultColWidth="9.109375" defaultRowHeight="13.2" x14ac:dyDescent="0.25"/>
  <cols>
    <col min="1" max="1" width="41.77734375" style="2" bestFit="1" customWidth="1"/>
    <col min="2" max="2" width="10.33203125" style="2" customWidth="1"/>
    <col min="3" max="3" width="74.33203125" style="2" bestFit="1" customWidth="1"/>
    <col min="4" max="4" width="7.5546875" style="2" customWidth="1"/>
    <col min="5" max="5" width="8.21875" style="2" customWidth="1"/>
    <col min="6" max="6" width="8.33203125" style="2" bestFit="1" customWidth="1"/>
    <col min="7" max="7" width="7.6640625" style="2" customWidth="1"/>
    <col min="8" max="16384" width="9.109375" style="2"/>
  </cols>
  <sheetData>
    <row r="1" spans="1:8" ht="15.6" x14ac:dyDescent="0.25">
      <c r="A1" s="1" t="s">
        <v>34</v>
      </c>
      <c r="C1" s="3" t="s">
        <v>22</v>
      </c>
    </row>
    <row r="2" spans="1:8" ht="15.6" x14ac:dyDescent="0.25">
      <c r="A2" s="1" t="s">
        <v>28</v>
      </c>
      <c r="C2" s="47" t="s">
        <v>7</v>
      </c>
      <c r="D2" s="47"/>
    </row>
    <row r="3" spans="1:8" x14ac:dyDescent="0.25">
      <c r="A3" s="68" t="s">
        <v>81</v>
      </c>
    </row>
    <row r="4" spans="1:8" x14ac:dyDescent="0.25">
      <c r="A4" s="5" t="s">
        <v>6</v>
      </c>
      <c r="C4" s="5" t="s">
        <v>80</v>
      </c>
      <c r="D4" s="5"/>
    </row>
    <row r="5" spans="1:8" x14ac:dyDescent="0.25">
      <c r="A5" s="2" t="s">
        <v>52</v>
      </c>
      <c r="B5" s="63">
        <v>15</v>
      </c>
      <c r="C5" s="7" t="s">
        <v>39</v>
      </c>
      <c r="D5" s="7"/>
    </row>
    <row r="6" spans="1:8" x14ac:dyDescent="0.25">
      <c r="A6" s="15" t="s">
        <v>35</v>
      </c>
      <c r="B6" s="63">
        <v>14.7</v>
      </c>
      <c r="C6" s="15" t="s">
        <v>40</v>
      </c>
    </row>
    <row r="7" spans="1:8" x14ac:dyDescent="0.25">
      <c r="A7" s="15" t="s">
        <v>36</v>
      </c>
      <c r="B7" s="63">
        <v>64</v>
      </c>
      <c r="C7" s="2" t="s">
        <v>41</v>
      </c>
    </row>
    <row r="8" spans="1:8" x14ac:dyDescent="0.25">
      <c r="A8" s="15" t="s">
        <v>37</v>
      </c>
      <c r="B8" s="64">
        <v>3</v>
      </c>
      <c r="C8" s="2" t="s">
        <v>42</v>
      </c>
    </row>
    <row r="9" spans="1:8" x14ac:dyDescent="0.25">
      <c r="A9" s="15" t="s">
        <v>38</v>
      </c>
      <c r="B9" s="63">
        <v>22.2</v>
      </c>
      <c r="C9" s="2" t="s">
        <v>43</v>
      </c>
    </row>
    <row r="10" spans="1:8" x14ac:dyDescent="0.25">
      <c r="B10" s="13">
        <f>(0.15*B5)+B6</f>
        <v>16.95</v>
      </c>
      <c r="C10" s="15" t="s">
        <v>82</v>
      </c>
    </row>
    <row r="11" spans="1:8" x14ac:dyDescent="0.25">
      <c r="B11" s="13">
        <f>(0.25*B5)+B6</f>
        <v>18.45</v>
      </c>
      <c r="C11" s="2" t="s">
        <v>44</v>
      </c>
    </row>
    <row r="12" spans="1:8" x14ac:dyDescent="0.25">
      <c r="B12" s="13">
        <f>(0.5*B5)+B6</f>
        <v>22.2</v>
      </c>
      <c r="C12" s="15" t="s">
        <v>83</v>
      </c>
    </row>
    <row r="13" spans="1:8" x14ac:dyDescent="0.25">
      <c r="B13" s="13"/>
    </row>
    <row r="14" spans="1:8" x14ac:dyDescent="0.25">
      <c r="A14" s="5" t="s">
        <v>56</v>
      </c>
      <c r="B14" s="13"/>
      <c r="C14" s="29" t="str">
        <f>IF(B15&lt;B8,"Relief pipe diameter must equal or exceed relief device diameter","")</f>
        <v/>
      </c>
      <c r="D14" s="29"/>
    </row>
    <row r="15" spans="1:8" ht="13.8" thickBot="1" x14ac:dyDescent="0.3">
      <c r="A15" s="15" t="s">
        <v>57</v>
      </c>
      <c r="B15" s="63">
        <v>3</v>
      </c>
      <c r="C15" s="15" t="s">
        <v>85</v>
      </c>
      <c r="D15" s="15"/>
      <c r="F15" s="5" t="s">
        <v>53</v>
      </c>
    </row>
    <row r="16" spans="1:8" ht="13.8" thickBot="1" x14ac:dyDescent="0.3">
      <c r="A16" s="2" t="s">
        <v>23</v>
      </c>
      <c r="B16" s="22">
        <f>LOOKUP(B15,F17:F31,G17:G31)</f>
        <v>3.0680000000000001</v>
      </c>
      <c r="C16" s="15" t="s">
        <v>48</v>
      </c>
      <c r="F16" s="60" t="s">
        <v>54</v>
      </c>
      <c r="G16" s="61" t="s">
        <v>55</v>
      </c>
      <c r="H16" s="9" t="s">
        <v>0</v>
      </c>
    </row>
    <row r="17" spans="1:8" x14ac:dyDescent="0.25">
      <c r="A17" s="2" t="s">
        <v>5</v>
      </c>
      <c r="B17" s="22">
        <f>LOOKUP(B15,F17:F31,H17:H31)</f>
        <v>1.7299999999999999E-2</v>
      </c>
      <c r="C17" s="15" t="s">
        <v>49</v>
      </c>
      <c r="F17" s="10">
        <v>0.5</v>
      </c>
      <c r="G17" s="11">
        <v>0.622</v>
      </c>
      <c r="H17" s="12">
        <v>2.5899999999999999E-2</v>
      </c>
    </row>
    <row r="18" spans="1:8" x14ac:dyDescent="0.25">
      <c r="A18" s="15" t="s">
        <v>8</v>
      </c>
      <c r="B18" s="23">
        <f>(0.2146*(B9^2-B6^2)/B17)-((B7^2*LN(B9/B6))/(6*B17*B16^4))</f>
        <v>3249.3697587267789</v>
      </c>
      <c r="C18" s="15" t="s">
        <v>59</v>
      </c>
      <c r="F18" s="14">
        <v>0.75</v>
      </c>
      <c r="G18" s="15">
        <v>0.82399999999999995</v>
      </c>
      <c r="H18" s="16">
        <v>2.4E-2</v>
      </c>
    </row>
    <row r="19" spans="1:8" ht="13.8" thickBot="1" x14ac:dyDescent="0.3">
      <c r="A19" s="15" t="s">
        <v>58</v>
      </c>
      <c r="B19" s="6">
        <v>11</v>
      </c>
      <c r="C19" s="15" t="s">
        <v>60</v>
      </c>
      <c r="F19" s="17">
        <v>1</v>
      </c>
      <c r="G19" s="18">
        <v>1.0489999999999999</v>
      </c>
      <c r="H19" s="19">
        <v>2.2499999999999999E-2</v>
      </c>
    </row>
    <row r="20" spans="1:8" x14ac:dyDescent="0.25">
      <c r="A20" s="15" t="s">
        <v>9</v>
      </c>
      <c r="B20" s="23">
        <f>B19*B7^2/B16^5</f>
        <v>165.75851859649535</v>
      </c>
      <c r="C20" s="15" t="s">
        <v>86</v>
      </c>
      <c r="F20" s="20">
        <v>1.25</v>
      </c>
      <c r="G20" s="15">
        <v>1.38</v>
      </c>
      <c r="H20" s="21">
        <v>2.0899999999999998E-2</v>
      </c>
    </row>
    <row r="21" spans="1:8" x14ac:dyDescent="0.25">
      <c r="A21" s="27" t="s">
        <v>24</v>
      </c>
      <c r="B21" s="28" t="str">
        <f>IF(B20&lt;B18,"OK","Too Small")</f>
        <v>OK</v>
      </c>
      <c r="C21" s="35" t="str">
        <f>IF(B20&lt;B18,"","Increase diameter of feeder pipe or shorten its length.")</f>
        <v/>
      </c>
      <c r="D21" s="35"/>
      <c r="F21" s="14">
        <v>1.5</v>
      </c>
      <c r="G21" s="15">
        <v>1.61</v>
      </c>
      <c r="H21" s="21">
        <v>2.0199999999999999E-2</v>
      </c>
    </row>
    <row r="22" spans="1:8" ht="13.8" thickBot="1" x14ac:dyDescent="0.3">
      <c r="A22" s="27"/>
      <c r="B22" s="48"/>
      <c r="C22" s="29"/>
      <c r="D22" s="29"/>
      <c r="F22" s="14">
        <v>2</v>
      </c>
      <c r="G22" s="15">
        <v>2.0670000000000002</v>
      </c>
      <c r="H22" s="16">
        <v>1.9E-2</v>
      </c>
    </row>
    <row r="23" spans="1:8" x14ac:dyDescent="0.25">
      <c r="A23" s="15" t="s">
        <v>10</v>
      </c>
      <c r="B23" s="23">
        <f>B18-B20</f>
        <v>3083.6112401302835</v>
      </c>
      <c r="C23" s="15" t="s">
        <v>61</v>
      </c>
      <c r="F23" s="10">
        <v>2.5</v>
      </c>
      <c r="G23" s="11">
        <v>2.4689999999999999</v>
      </c>
      <c r="H23" s="12">
        <v>1.8200000000000001E-2</v>
      </c>
    </row>
    <row r="24" spans="1:8" x14ac:dyDescent="0.25">
      <c r="F24" s="14">
        <v>3</v>
      </c>
      <c r="G24" s="15">
        <v>3.0680000000000001</v>
      </c>
      <c r="H24" s="21">
        <v>1.7299999999999999E-2</v>
      </c>
    </row>
    <row r="25" spans="1:8" ht="13.8" thickBot="1" x14ac:dyDescent="0.3">
      <c r="A25" s="5" t="s">
        <v>62</v>
      </c>
      <c r="F25" s="17">
        <v>4</v>
      </c>
      <c r="G25" s="18">
        <v>4.0259999999999998</v>
      </c>
      <c r="H25" s="19">
        <v>1.6299999999999999E-2</v>
      </c>
    </row>
    <row r="26" spans="1:8" x14ac:dyDescent="0.25">
      <c r="A26" s="15" t="s">
        <v>63</v>
      </c>
      <c r="B26" s="63">
        <v>3</v>
      </c>
      <c r="C26" s="15" t="s">
        <v>67</v>
      </c>
      <c r="F26" s="10">
        <v>5</v>
      </c>
      <c r="G26" s="11">
        <v>5.0469999999999997</v>
      </c>
      <c r="H26" s="12">
        <v>1.55E-2</v>
      </c>
    </row>
    <row r="27" spans="1:8" ht="13.8" thickBot="1" x14ac:dyDescent="0.3">
      <c r="A27" s="15" t="s">
        <v>64</v>
      </c>
      <c r="B27" s="63">
        <v>40</v>
      </c>
      <c r="C27" s="15" t="s">
        <v>68</v>
      </c>
      <c r="F27" s="17">
        <v>6</v>
      </c>
      <c r="G27" s="24">
        <v>6.0650000000000004</v>
      </c>
      <c r="H27" s="19">
        <v>1.49E-2</v>
      </c>
    </row>
    <row r="28" spans="1:8" x14ac:dyDescent="0.25">
      <c r="A28" s="15" t="s">
        <v>65</v>
      </c>
      <c r="B28" s="63">
        <v>6</v>
      </c>
      <c r="C28" s="15" t="s">
        <v>69</v>
      </c>
      <c r="F28" s="25">
        <v>8</v>
      </c>
      <c r="G28" s="3">
        <v>7.9809999999999999</v>
      </c>
      <c r="H28" s="26">
        <v>1.41E-2</v>
      </c>
    </row>
    <row r="29" spans="1:8" x14ac:dyDescent="0.25">
      <c r="A29" s="15" t="s">
        <v>66</v>
      </c>
      <c r="B29" s="22">
        <f>LOOKUP(B28,F17:F31,G17:G31)</f>
        <v>6.0650000000000004</v>
      </c>
      <c r="C29" s="15" t="s">
        <v>48</v>
      </c>
      <c r="F29" s="25">
        <v>10</v>
      </c>
      <c r="G29" s="3">
        <v>10.02</v>
      </c>
      <c r="H29" s="26">
        <v>1.35E-2</v>
      </c>
    </row>
    <row r="30" spans="1:8" x14ac:dyDescent="0.25">
      <c r="A30" s="15" t="s">
        <v>9</v>
      </c>
      <c r="B30" s="23">
        <f>B27*(B26*B7)^2/B29^5</f>
        <v>179.68359277332897</v>
      </c>
      <c r="C30" s="15" t="s">
        <v>30</v>
      </c>
      <c r="F30" s="25">
        <v>12</v>
      </c>
      <c r="G30" s="3">
        <v>11.938000000000001</v>
      </c>
      <c r="H30" s="26">
        <v>1.3100000000000001E-2</v>
      </c>
    </row>
    <row r="31" spans="1:8" ht="13.8" thickBot="1" x14ac:dyDescent="0.3">
      <c r="A31" s="2" t="s">
        <v>11</v>
      </c>
      <c r="B31" s="28" t="str">
        <f>IF(B40&lt;B41,"Yes","No")</f>
        <v>Yes</v>
      </c>
      <c r="C31" s="15" t="s">
        <v>90</v>
      </c>
      <c r="D31" s="35"/>
      <c r="F31" s="31">
        <v>14</v>
      </c>
      <c r="G31" s="32">
        <v>13.124000000000001</v>
      </c>
      <c r="H31" s="33">
        <v>1.3299999999999999E-2</v>
      </c>
    </row>
    <row r="32" spans="1:8" x14ac:dyDescent="0.25">
      <c r="A32" s="2" t="s">
        <v>12</v>
      </c>
      <c r="B32" s="28" t="str">
        <f>IF(B30&lt;B23,"Yes","No")</f>
        <v>Yes</v>
      </c>
      <c r="C32" s="15" t="s">
        <v>89</v>
      </c>
      <c r="D32" s="35"/>
    </row>
    <row r="33" spans="1:5" x14ac:dyDescent="0.25">
      <c r="A33" s="27" t="s">
        <v>29</v>
      </c>
      <c r="B33" s="28" t="str">
        <f>IF(B31="No","Too Small",IF(B32="No","Too small","OK"))</f>
        <v>OK</v>
      </c>
      <c r="C33" s="49"/>
      <c r="D33" s="49"/>
    </row>
    <row r="34" spans="1:5" x14ac:dyDescent="0.25">
      <c r="A34" s="27"/>
    </row>
    <row r="36" spans="1:5" x14ac:dyDescent="0.25">
      <c r="B36" s="30"/>
    </row>
    <row r="37" spans="1:5" ht="13.8" thickBot="1" x14ac:dyDescent="0.3"/>
    <row r="38" spans="1:5" x14ac:dyDescent="0.25">
      <c r="B38" s="38" t="s">
        <v>21</v>
      </c>
      <c r="C38" s="51"/>
      <c r="E38" s="50"/>
    </row>
    <row r="39" spans="1:5" x14ac:dyDescent="0.25">
      <c r="B39" s="52">
        <f>PI()*(B8/2)^2</f>
        <v>7.0685834705770345</v>
      </c>
      <c r="C39" s="21" t="s">
        <v>25</v>
      </c>
      <c r="E39" s="50"/>
    </row>
    <row r="40" spans="1:5" x14ac:dyDescent="0.25">
      <c r="B40" s="52">
        <f>B39*B26</f>
        <v>21.205750411731103</v>
      </c>
      <c r="C40" s="53" t="s">
        <v>26</v>
      </c>
    </row>
    <row r="41" spans="1:5" ht="13.8" thickBot="1" x14ac:dyDescent="0.3">
      <c r="B41" s="54">
        <f>PI()*(B29/2)^2</f>
        <v>28.890262756998506</v>
      </c>
      <c r="C41" s="46" t="s">
        <v>31</v>
      </c>
    </row>
  </sheetData>
  <phoneticPr fontId="12" type="noConversion"/>
  <dataValidations count="1">
    <dataValidation type="list" showInputMessage="1" showErrorMessage="1" errorTitle="Invalid Entry" error="Choose a value from the NPS column of Table 1" sqref="B28 B15" xr:uid="{00000000-0002-0000-0100-000000000000}">
      <formula1>$F$17:$F$31</formula1>
    </dataValidation>
  </dataValidations>
  <pageMargins left="0.75" right="0.75" top="1" bottom="1" header="0.5" footer="0.5"/>
  <pageSetup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2"/>
  <sheetViews>
    <sheetView zoomScale="90" zoomScaleNormal="90" workbookViewId="0"/>
  </sheetViews>
  <sheetFormatPr defaultColWidth="9.109375" defaultRowHeight="13.2" x14ac:dyDescent="0.25"/>
  <cols>
    <col min="1" max="1" width="41.77734375" style="2" bestFit="1" customWidth="1"/>
    <col min="2" max="7" width="10.33203125" style="2" customWidth="1"/>
    <col min="8" max="8" width="74.33203125" style="2" bestFit="1" customWidth="1"/>
    <col min="9" max="9" width="7.77734375" style="2" customWidth="1"/>
    <col min="10" max="10" width="8.33203125" style="2" bestFit="1" customWidth="1"/>
    <col min="11" max="11" width="7.6640625" style="2" customWidth="1"/>
    <col min="12" max="16384" width="9.109375" style="2"/>
  </cols>
  <sheetData>
    <row r="1" spans="1:11" ht="15.6" x14ac:dyDescent="0.25">
      <c r="A1" s="1" t="s">
        <v>33</v>
      </c>
      <c r="C1" s="3" t="s">
        <v>22</v>
      </c>
      <c r="D1" s="3"/>
      <c r="E1" s="3"/>
    </row>
    <row r="2" spans="1:11" ht="15.6" x14ac:dyDescent="0.25">
      <c r="A2" s="1" t="s">
        <v>32</v>
      </c>
      <c r="C2" s="4" t="s">
        <v>20</v>
      </c>
    </row>
    <row r="3" spans="1:11" x14ac:dyDescent="0.25">
      <c r="A3" s="68" t="s">
        <v>81</v>
      </c>
    </row>
    <row r="4" spans="1:11" x14ac:dyDescent="0.25">
      <c r="A4" s="5" t="s">
        <v>6</v>
      </c>
      <c r="B4" s="62" t="s">
        <v>13</v>
      </c>
      <c r="C4" s="62" t="s">
        <v>14</v>
      </c>
      <c r="D4" s="62" t="s">
        <v>15</v>
      </c>
      <c r="E4" s="62" t="s">
        <v>16</v>
      </c>
      <c r="F4" s="62" t="s">
        <v>17</v>
      </c>
      <c r="G4" s="62" t="s">
        <v>18</v>
      </c>
      <c r="H4" s="5" t="s">
        <v>80</v>
      </c>
    </row>
    <row r="5" spans="1:11" x14ac:dyDescent="0.25">
      <c r="A5" s="15" t="s">
        <v>52</v>
      </c>
      <c r="B5" s="63">
        <v>200</v>
      </c>
      <c r="C5" s="63">
        <v>200</v>
      </c>
      <c r="D5" s="63">
        <v>200</v>
      </c>
      <c r="E5" s="63"/>
      <c r="F5" s="63"/>
      <c r="G5" s="63"/>
      <c r="H5" s="7" t="s">
        <v>39</v>
      </c>
    </row>
    <row r="6" spans="1:11" x14ac:dyDescent="0.25">
      <c r="A6" s="15" t="s">
        <v>35</v>
      </c>
      <c r="B6" s="63">
        <v>14.7</v>
      </c>
      <c r="C6" s="63">
        <v>14.7</v>
      </c>
      <c r="D6" s="63">
        <v>14.7</v>
      </c>
      <c r="E6" s="63"/>
      <c r="F6" s="63"/>
      <c r="G6" s="63"/>
      <c r="H6" s="15" t="s">
        <v>40</v>
      </c>
    </row>
    <row r="7" spans="1:11" x14ac:dyDescent="0.25">
      <c r="A7" s="15" t="s">
        <v>36</v>
      </c>
      <c r="B7" s="63">
        <v>78</v>
      </c>
      <c r="C7" s="63">
        <v>48</v>
      </c>
      <c r="D7" s="63">
        <v>48</v>
      </c>
      <c r="E7" s="63"/>
      <c r="F7" s="63"/>
      <c r="G7" s="63"/>
      <c r="H7" s="2" t="s">
        <v>41</v>
      </c>
    </row>
    <row r="8" spans="1:11" x14ac:dyDescent="0.25">
      <c r="A8" s="15" t="s">
        <v>37</v>
      </c>
      <c r="B8" s="63">
        <v>1.25</v>
      </c>
      <c r="C8" s="63">
        <v>1.25</v>
      </c>
      <c r="D8" s="63">
        <v>1.25</v>
      </c>
      <c r="E8" s="63"/>
      <c r="F8" s="63"/>
      <c r="G8" s="63"/>
      <c r="H8" s="2" t="s">
        <v>42</v>
      </c>
    </row>
    <row r="9" spans="1:11" x14ac:dyDescent="0.25">
      <c r="A9" s="15" t="s">
        <v>38</v>
      </c>
      <c r="B9" s="63">
        <v>44.7</v>
      </c>
      <c r="C9" s="63">
        <v>44.7</v>
      </c>
      <c r="D9" s="63">
        <v>44.7</v>
      </c>
      <c r="E9" s="63"/>
      <c r="F9" s="63"/>
      <c r="G9" s="63"/>
      <c r="H9" s="2" t="s">
        <v>43</v>
      </c>
    </row>
    <row r="10" spans="1:11" x14ac:dyDescent="0.25">
      <c r="B10" s="13">
        <f t="shared" ref="B10:G10" si="0">(0.15*B5)+B6</f>
        <v>44.7</v>
      </c>
      <c r="C10" s="13">
        <f t="shared" si="0"/>
        <v>44.7</v>
      </c>
      <c r="D10" s="13">
        <f t="shared" si="0"/>
        <v>44.7</v>
      </c>
      <c r="E10" s="13">
        <f t="shared" si="0"/>
        <v>0</v>
      </c>
      <c r="F10" s="13">
        <f t="shared" si="0"/>
        <v>0</v>
      </c>
      <c r="G10" s="13">
        <f t="shared" si="0"/>
        <v>0</v>
      </c>
      <c r="H10" s="15" t="s">
        <v>82</v>
      </c>
    </row>
    <row r="11" spans="1:11" x14ac:dyDescent="0.25">
      <c r="B11" s="13">
        <f t="shared" ref="B11:G11" si="1">(0.25*B5)+B6</f>
        <v>64.7</v>
      </c>
      <c r="C11" s="13">
        <f t="shared" si="1"/>
        <v>64.7</v>
      </c>
      <c r="D11" s="13">
        <f t="shared" si="1"/>
        <v>64.7</v>
      </c>
      <c r="E11" s="13">
        <f t="shared" si="1"/>
        <v>0</v>
      </c>
      <c r="F11" s="13">
        <f t="shared" si="1"/>
        <v>0</v>
      </c>
      <c r="G11" s="13">
        <f t="shared" si="1"/>
        <v>0</v>
      </c>
      <c r="H11" s="2" t="s">
        <v>44</v>
      </c>
    </row>
    <row r="12" spans="1:11" x14ac:dyDescent="0.25">
      <c r="B12" s="13">
        <f t="shared" ref="B12:G12" si="2">(0.5*B5)+B6</f>
        <v>114.7</v>
      </c>
      <c r="C12" s="13">
        <f t="shared" si="2"/>
        <v>114.7</v>
      </c>
      <c r="D12" s="13">
        <f t="shared" si="2"/>
        <v>114.7</v>
      </c>
      <c r="E12" s="13">
        <f t="shared" si="2"/>
        <v>0</v>
      </c>
      <c r="F12" s="13">
        <f t="shared" si="2"/>
        <v>0</v>
      </c>
      <c r="G12" s="13">
        <f t="shared" si="2"/>
        <v>0</v>
      </c>
      <c r="H12" s="15" t="s">
        <v>83</v>
      </c>
    </row>
    <row r="14" spans="1:11" x14ac:dyDescent="0.25">
      <c r="A14" s="5" t="s">
        <v>56</v>
      </c>
      <c r="B14" s="62" t="s">
        <v>70</v>
      </c>
      <c r="C14" s="62" t="s">
        <v>71</v>
      </c>
      <c r="D14" s="62" t="s">
        <v>72</v>
      </c>
      <c r="E14" s="62" t="s">
        <v>73</v>
      </c>
      <c r="F14" s="62" t="s">
        <v>74</v>
      </c>
      <c r="G14" s="62" t="s">
        <v>75</v>
      </c>
      <c r="H14" s="4"/>
    </row>
    <row r="15" spans="1:11" ht="13.8" thickBot="1" x14ac:dyDescent="0.3">
      <c r="A15" s="15" t="s">
        <v>57</v>
      </c>
      <c r="B15" s="63">
        <v>1.5</v>
      </c>
      <c r="C15" s="63">
        <v>1.25</v>
      </c>
      <c r="D15" s="63">
        <v>1.25</v>
      </c>
      <c r="E15" s="63"/>
      <c r="F15" s="63"/>
      <c r="G15" s="63"/>
      <c r="H15" s="15" t="s">
        <v>85</v>
      </c>
      <c r="I15" s="5" t="s">
        <v>53</v>
      </c>
    </row>
    <row r="16" spans="1:11" ht="13.8" thickBot="1" x14ac:dyDescent="0.3">
      <c r="A16" s="2" t="s">
        <v>23</v>
      </c>
      <c r="B16" s="22">
        <f t="shared" ref="B16:G16" si="3">IF(B5&lt;1,0,LOOKUP(B15,$I17:$I28,$J17:$J28))</f>
        <v>1.61</v>
      </c>
      <c r="C16" s="22">
        <f t="shared" si="3"/>
        <v>1.38</v>
      </c>
      <c r="D16" s="22">
        <f t="shared" si="3"/>
        <v>1.38</v>
      </c>
      <c r="E16" s="22">
        <f t="shared" si="3"/>
        <v>0</v>
      </c>
      <c r="F16" s="22">
        <f t="shared" si="3"/>
        <v>0</v>
      </c>
      <c r="G16" s="22">
        <f t="shared" si="3"/>
        <v>0</v>
      </c>
      <c r="H16" s="15" t="s">
        <v>48</v>
      </c>
      <c r="I16" s="60" t="s">
        <v>54</v>
      </c>
      <c r="J16" s="61" t="s">
        <v>55</v>
      </c>
      <c r="K16" s="9" t="s">
        <v>0</v>
      </c>
    </row>
    <row r="17" spans="1:11" x14ac:dyDescent="0.25">
      <c r="A17" s="2" t="s">
        <v>5</v>
      </c>
      <c r="B17" s="22">
        <f t="shared" ref="B17:G17" si="4">LOOKUP(B15,$I17:$I28,$K17:$K28)</f>
        <v>2.0199999999999999E-2</v>
      </c>
      <c r="C17" s="22">
        <f t="shared" si="4"/>
        <v>2.0899999999999998E-2</v>
      </c>
      <c r="D17" s="22">
        <f t="shared" si="4"/>
        <v>2.0899999999999998E-2</v>
      </c>
      <c r="E17" s="22" t="e">
        <f t="shared" si="4"/>
        <v>#N/A</v>
      </c>
      <c r="F17" s="22" t="e">
        <f t="shared" si="4"/>
        <v>#N/A</v>
      </c>
      <c r="G17" s="22" t="e">
        <f t="shared" si="4"/>
        <v>#N/A</v>
      </c>
      <c r="H17" s="15" t="s">
        <v>49</v>
      </c>
      <c r="I17" s="10">
        <v>0.5</v>
      </c>
      <c r="J17" s="11">
        <v>0.622</v>
      </c>
      <c r="K17" s="12">
        <v>2.5899999999999999E-2</v>
      </c>
    </row>
    <row r="18" spans="1:11" x14ac:dyDescent="0.25">
      <c r="A18" s="15" t="s">
        <v>8</v>
      </c>
      <c r="B18" s="23">
        <f>IF(B5&lt;1,1,(0.2146*(B9^2-B6^2)/B17)-(B7^2*LN(B9/B6)/(6*B17*B16^4)))</f>
        <v>10622.768022982122</v>
      </c>
      <c r="C18" s="23">
        <f t="shared" ref="C18:G18" si="5">IF(C5&lt;1,1,(0.2146*(C9^2-C6^2)/C17)-(C7^2*LN(C9/C6)/(6*C17*C16^4)))</f>
        <v>12663.399127343717</v>
      </c>
      <c r="D18" s="23">
        <f t="shared" si="5"/>
        <v>12663.399127343717</v>
      </c>
      <c r="E18" s="23">
        <f t="shared" si="5"/>
        <v>1</v>
      </c>
      <c r="F18" s="23">
        <f t="shared" si="5"/>
        <v>1</v>
      </c>
      <c r="G18" s="23">
        <f t="shared" si="5"/>
        <v>1</v>
      </c>
      <c r="H18" s="15" t="s">
        <v>59</v>
      </c>
      <c r="I18" s="14">
        <v>0.75</v>
      </c>
      <c r="J18" s="15">
        <v>0.82399999999999995</v>
      </c>
      <c r="K18" s="16">
        <v>2.4E-2</v>
      </c>
    </row>
    <row r="19" spans="1:11" ht="13.8" thickBot="1" x14ac:dyDescent="0.3">
      <c r="A19" s="15" t="s">
        <v>58</v>
      </c>
      <c r="B19" s="63">
        <v>10</v>
      </c>
      <c r="C19" s="63">
        <v>10</v>
      </c>
      <c r="D19" s="63">
        <v>10</v>
      </c>
      <c r="E19" s="63"/>
      <c r="F19" s="63"/>
      <c r="G19" s="63"/>
      <c r="H19" s="15" t="s">
        <v>76</v>
      </c>
      <c r="I19" s="17">
        <v>1</v>
      </c>
      <c r="J19" s="18">
        <v>1.0489999999999999</v>
      </c>
      <c r="K19" s="19">
        <v>2.2499999999999999E-2</v>
      </c>
    </row>
    <row r="20" spans="1:11" x14ac:dyDescent="0.25">
      <c r="A20" s="15" t="s">
        <v>9</v>
      </c>
      <c r="B20" s="23">
        <f t="shared" ref="B20:G20" si="6">IF(B5&lt;1,0,B19*B7^2/B16^5)</f>
        <v>5624.1879454148457</v>
      </c>
      <c r="C20" s="23">
        <f t="shared" si="6"/>
        <v>4603.488289798981</v>
      </c>
      <c r="D20" s="23">
        <f t="shared" si="6"/>
        <v>4603.488289798981</v>
      </c>
      <c r="E20" s="23">
        <f t="shared" si="6"/>
        <v>0</v>
      </c>
      <c r="F20" s="23">
        <f t="shared" si="6"/>
        <v>0</v>
      </c>
      <c r="G20" s="23">
        <f t="shared" si="6"/>
        <v>0</v>
      </c>
      <c r="H20" s="15" t="s">
        <v>27</v>
      </c>
      <c r="I20" s="20">
        <v>1.25</v>
      </c>
      <c r="J20" s="15">
        <v>1.38</v>
      </c>
      <c r="K20" s="21">
        <v>2.0899999999999998E-2</v>
      </c>
    </row>
    <row r="21" spans="1:11" x14ac:dyDescent="0.25">
      <c r="A21" s="27" t="s">
        <v>24</v>
      </c>
      <c r="B21" s="28" t="str">
        <f>IF(AND(B20&lt;B18,B8&lt;=B15),"OK","Too Small")</f>
        <v>OK</v>
      </c>
      <c r="C21" s="28" t="str">
        <f t="shared" ref="C21:G21" si="7">IF(AND(C20&lt;C18,C8&lt;=C15),"OK","Too Small")</f>
        <v>OK</v>
      </c>
      <c r="D21" s="28" t="str">
        <f t="shared" si="7"/>
        <v>OK</v>
      </c>
      <c r="E21" s="28" t="str">
        <f t="shared" si="7"/>
        <v>OK</v>
      </c>
      <c r="F21" s="28" t="str">
        <f t="shared" si="7"/>
        <v>OK</v>
      </c>
      <c r="G21" s="28" t="str">
        <f t="shared" si="7"/>
        <v>OK</v>
      </c>
      <c r="H21" s="15" t="s">
        <v>86</v>
      </c>
      <c r="I21" s="14">
        <v>1.5</v>
      </c>
      <c r="J21" s="15">
        <v>1.61</v>
      </c>
      <c r="K21" s="21">
        <v>2.0199999999999999E-2</v>
      </c>
    </row>
    <row r="22" spans="1:11" ht="13.8" thickBot="1" x14ac:dyDescent="0.3">
      <c r="A22" s="15"/>
      <c r="B22" s="30"/>
      <c r="C22" s="30"/>
      <c r="D22" s="30"/>
      <c r="E22" s="30"/>
      <c r="F22" s="30"/>
      <c r="G22" s="30"/>
      <c r="I22" s="14">
        <v>2</v>
      </c>
      <c r="J22" s="15">
        <v>2.0670000000000002</v>
      </c>
      <c r="K22" s="16">
        <v>1.9E-2</v>
      </c>
    </row>
    <row r="23" spans="1:11" x14ac:dyDescent="0.25">
      <c r="A23" s="15" t="s">
        <v>10</v>
      </c>
      <c r="B23" s="23">
        <f>IF(B5&lt;1,0,B18-B20)</f>
        <v>4998.580077567276</v>
      </c>
      <c r="C23" s="23">
        <f>IF(C5&lt;1,$B$23,C18-C20)</f>
        <v>8059.9108375447358</v>
      </c>
      <c r="D23" s="23">
        <f t="shared" ref="D23:G23" si="8">IF(D5&lt;1,$B$23,D18-D20)</f>
        <v>8059.9108375447358</v>
      </c>
      <c r="E23" s="23">
        <f t="shared" si="8"/>
        <v>4998.580077567276</v>
      </c>
      <c r="F23" s="23">
        <f t="shared" si="8"/>
        <v>4998.580077567276</v>
      </c>
      <c r="G23" s="23">
        <f t="shared" si="8"/>
        <v>4998.580077567276</v>
      </c>
      <c r="H23" s="15" t="s">
        <v>77</v>
      </c>
      <c r="I23" s="10">
        <v>2.5</v>
      </c>
      <c r="J23" s="11">
        <v>2.4689999999999999</v>
      </c>
      <c r="K23" s="12">
        <v>1.8200000000000001E-2</v>
      </c>
    </row>
    <row r="24" spans="1:11" x14ac:dyDescent="0.25">
      <c r="A24" s="2" t="s">
        <v>19</v>
      </c>
      <c r="B24" s="23">
        <f>SMALL(B23:G23,1)</f>
        <v>4998.580077567276</v>
      </c>
      <c r="C24" s="23"/>
      <c r="D24" s="23"/>
      <c r="E24" s="23"/>
      <c r="F24" s="23"/>
      <c r="G24" s="23"/>
      <c r="H24" s="15" t="s">
        <v>78</v>
      </c>
      <c r="I24" s="14">
        <v>3</v>
      </c>
      <c r="J24" s="15">
        <v>3.0680000000000001</v>
      </c>
      <c r="K24" s="21">
        <v>1.7299999999999999E-2</v>
      </c>
    </row>
    <row r="25" spans="1:11" ht="13.8" thickBot="1" x14ac:dyDescent="0.3">
      <c r="I25" s="17">
        <v>4</v>
      </c>
      <c r="J25" s="18">
        <v>4.0259999999999998</v>
      </c>
      <c r="K25" s="19">
        <v>1.6299999999999999E-2</v>
      </c>
    </row>
    <row r="26" spans="1:11" x14ac:dyDescent="0.25">
      <c r="A26" s="5" t="s">
        <v>62</v>
      </c>
      <c r="C26" s="5"/>
      <c r="D26" s="5"/>
      <c r="E26" s="5"/>
      <c r="F26" s="5"/>
      <c r="G26" s="5"/>
      <c r="I26" s="10">
        <v>5</v>
      </c>
      <c r="J26" s="11">
        <v>5.0469999999999997</v>
      </c>
      <c r="K26" s="12">
        <v>1.55E-2</v>
      </c>
    </row>
    <row r="27" spans="1:11" ht="13.8" thickBot="1" x14ac:dyDescent="0.3">
      <c r="A27" s="15" t="s">
        <v>64</v>
      </c>
      <c r="B27" s="63">
        <v>30</v>
      </c>
      <c r="C27" s="15" t="s">
        <v>68</v>
      </c>
      <c r="D27" s="15"/>
      <c r="E27" s="15"/>
      <c r="F27" s="15"/>
      <c r="G27" s="15"/>
      <c r="H27" s="34"/>
      <c r="I27" s="17">
        <v>6</v>
      </c>
      <c r="J27" s="24">
        <v>6.0650000000000004</v>
      </c>
      <c r="K27" s="19">
        <v>1.49E-2</v>
      </c>
    </row>
    <row r="28" spans="1:11" x14ac:dyDescent="0.25">
      <c r="A28" s="15" t="s">
        <v>65</v>
      </c>
      <c r="B28" s="63">
        <v>3</v>
      </c>
      <c r="C28" s="15" t="s">
        <v>69</v>
      </c>
      <c r="D28" s="15"/>
      <c r="E28" s="15"/>
      <c r="F28" s="15"/>
      <c r="G28" s="15"/>
      <c r="H28" s="29"/>
      <c r="I28" s="25">
        <v>8</v>
      </c>
      <c r="J28" s="3">
        <v>7.9809999999999999</v>
      </c>
      <c r="K28" s="26">
        <v>1.41E-2</v>
      </c>
    </row>
    <row r="29" spans="1:11" x14ac:dyDescent="0.25">
      <c r="A29" s="15" t="s">
        <v>66</v>
      </c>
      <c r="B29" s="22">
        <f>LOOKUP(B28,$I17:$I31,$J17:$J31)</f>
        <v>3.0680000000000001</v>
      </c>
      <c r="C29" s="15" t="s">
        <v>48</v>
      </c>
      <c r="D29" s="7"/>
      <c r="E29" s="7"/>
      <c r="F29" s="7"/>
      <c r="G29" s="7"/>
      <c r="I29" s="25">
        <v>10</v>
      </c>
      <c r="J29" s="3">
        <v>10.02</v>
      </c>
      <c r="K29" s="26">
        <v>1.35E-2</v>
      </c>
    </row>
    <row r="30" spans="1:11" x14ac:dyDescent="0.25">
      <c r="A30" s="15" t="s">
        <v>79</v>
      </c>
      <c r="B30" s="13">
        <f>SUM(B7:G7)</f>
        <v>174</v>
      </c>
      <c r="D30" s="7"/>
      <c r="E30" s="7"/>
      <c r="F30" s="7"/>
      <c r="G30" s="7"/>
      <c r="I30" s="25">
        <v>12</v>
      </c>
      <c r="J30" s="3">
        <v>11.938000000000001</v>
      </c>
      <c r="K30" s="26">
        <v>1.3100000000000001E-2</v>
      </c>
    </row>
    <row r="31" spans="1:11" ht="13.8" thickBot="1" x14ac:dyDescent="0.3">
      <c r="A31" s="15" t="s">
        <v>9</v>
      </c>
      <c r="B31" s="23">
        <f>B27*(B30)^2/B29^5</f>
        <v>3341.5116137878372</v>
      </c>
      <c r="C31" s="15" t="s">
        <v>30</v>
      </c>
      <c r="D31" s="7"/>
      <c r="E31" s="7"/>
      <c r="F31" s="7"/>
      <c r="G31" s="7"/>
      <c r="I31" s="31">
        <v>14</v>
      </c>
      <c r="J31" s="32">
        <v>13.124000000000001</v>
      </c>
      <c r="K31" s="33">
        <v>1.3299999999999999E-2</v>
      </c>
    </row>
    <row r="32" spans="1:11" x14ac:dyDescent="0.25">
      <c r="A32" s="2" t="s">
        <v>11</v>
      </c>
      <c r="B32" s="28" t="str">
        <f>IF(B41&lt;B42,"Yes","No")</f>
        <v>Yes</v>
      </c>
      <c r="C32" s="15" t="s">
        <v>88</v>
      </c>
      <c r="D32" s="7"/>
      <c r="E32" s="7"/>
      <c r="F32" s="7"/>
      <c r="G32" s="7"/>
    </row>
    <row r="33" spans="1:7" x14ac:dyDescent="0.25">
      <c r="A33" s="2" t="s">
        <v>12</v>
      </c>
      <c r="B33" s="28" t="str">
        <f>IF(B31&lt;B24,"Yes","No")</f>
        <v>Yes</v>
      </c>
      <c r="C33" s="15" t="s">
        <v>87</v>
      </c>
      <c r="D33" s="7"/>
      <c r="E33" s="7"/>
      <c r="F33" s="7"/>
      <c r="G33" s="7"/>
    </row>
    <row r="34" spans="1:7" x14ac:dyDescent="0.25">
      <c r="A34" s="27" t="s">
        <v>29</v>
      </c>
      <c r="B34" s="28" t="str">
        <f>IF(B32="No","Too Small",IF(B33="No","Too small","OK"))</f>
        <v>OK</v>
      </c>
      <c r="C34" s="29"/>
      <c r="D34" s="29"/>
      <c r="E34" s="29"/>
      <c r="F34" s="29"/>
    </row>
    <row r="35" spans="1:7" x14ac:dyDescent="0.25">
      <c r="A35" s="5"/>
      <c r="C35" s="29"/>
      <c r="D35" s="29"/>
      <c r="E35" s="29"/>
      <c r="F35" s="29"/>
      <c r="G35" s="29"/>
    </row>
    <row r="36" spans="1:7" x14ac:dyDescent="0.25">
      <c r="B36" s="36"/>
      <c r="C36" s="37"/>
      <c r="D36" s="37"/>
      <c r="E36" s="37"/>
      <c r="F36" s="37"/>
      <c r="G36" s="37"/>
    </row>
    <row r="37" spans="1:7" x14ac:dyDescent="0.25">
      <c r="B37" s="36"/>
      <c r="C37" s="37"/>
      <c r="D37" s="37"/>
      <c r="E37" s="37"/>
      <c r="F37" s="37"/>
      <c r="G37" s="37"/>
    </row>
    <row r="38" spans="1:7" ht="13.8" thickBot="1" x14ac:dyDescent="0.3">
      <c r="D38" s="5"/>
      <c r="E38" s="5"/>
      <c r="F38" s="5"/>
      <c r="G38" s="5"/>
    </row>
    <row r="39" spans="1:7" x14ac:dyDescent="0.25">
      <c r="A39" s="38" t="s">
        <v>21</v>
      </c>
      <c r="B39" s="39"/>
      <c r="C39" s="39"/>
      <c r="D39" s="40"/>
      <c r="E39" s="40"/>
      <c r="F39" s="40"/>
      <c r="G39" s="41"/>
    </row>
    <row r="40" spans="1:7" x14ac:dyDescent="0.25">
      <c r="A40" s="42" t="s">
        <v>25</v>
      </c>
      <c r="B40" s="65">
        <f t="shared" ref="B40:G40" si="9">PI()*(B8/2)^2</f>
        <v>1.227184630308513</v>
      </c>
      <c r="C40" s="65">
        <f t="shared" si="9"/>
        <v>1.227184630308513</v>
      </c>
      <c r="D40" s="65">
        <f t="shared" si="9"/>
        <v>1.227184630308513</v>
      </c>
      <c r="E40" s="65">
        <f t="shared" si="9"/>
        <v>0</v>
      </c>
      <c r="F40" s="65">
        <f t="shared" si="9"/>
        <v>0</v>
      </c>
      <c r="G40" s="66">
        <f t="shared" si="9"/>
        <v>0</v>
      </c>
    </row>
    <row r="41" spans="1:7" x14ac:dyDescent="0.25">
      <c r="A41" s="42" t="s">
        <v>26</v>
      </c>
      <c r="B41" s="65">
        <f>SUM(B40:G40)</f>
        <v>3.6815538909255388</v>
      </c>
      <c r="C41" s="43"/>
      <c r="D41" s="43"/>
      <c r="E41" s="43"/>
      <c r="F41" s="43"/>
      <c r="G41" s="44"/>
    </row>
    <row r="42" spans="1:7" ht="13.8" thickBot="1" x14ac:dyDescent="0.3">
      <c r="A42" s="45" t="s">
        <v>31</v>
      </c>
      <c r="B42" s="67">
        <f>PI()*(B29/2)^2</f>
        <v>7.3926576023507442</v>
      </c>
      <c r="C42" s="8"/>
      <c r="D42" s="8"/>
      <c r="E42" s="8"/>
      <c r="F42" s="8"/>
      <c r="G42" s="46"/>
    </row>
  </sheetData>
  <phoneticPr fontId="12" type="noConversion"/>
  <dataValidations count="1">
    <dataValidation type="list" showInputMessage="1" showErrorMessage="1" errorTitle="Invalid Entry" error="Enter a value from the NPS list in Table 1." sqref="B28 B15:G15" xr:uid="{00000000-0002-0000-0200-000000000000}">
      <formula1>$I$17:$I$31</formula1>
    </dataValidation>
  </dataValidations>
  <pageMargins left="0.75" right="0.75" top="0.5" bottom="0.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Single Relief Device</vt:lpstr>
      <vt:lpstr>Headered identical reliefs</vt:lpstr>
      <vt:lpstr>Headered different reliefs</vt:lpstr>
      <vt:lpstr>'Headered different reliefs'!Print_Area</vt:lpstr>
      <vt:lpstr>'Headered identical reliefs'!Print_Area</vt:lpstr>
      <vt:lpstr>'Single Relief Device'!Print_Area</vt:lpstr>
    </vt:vector>
  </TitlesOfParts>
  <Company>The Trane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Guckelberger</dc:creator>
  <cp:lastModifiedBy>Murphy, John</cp:lastModifiedBy>
  <cp:lastPrinted>2011-01-05T20:14:52Z</cp:lastPrinted>
  <dcterms:created xsi:type="dcterms:W3CDTF">2002-06-26T18:47:28Z</dcterms:created>
  <dcterms:modified xsi:type="dcterms:W3CDTF">2024-11-21T17:53:32Z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2e6b854e-30a2-40b7-ac06-a199d72b1c07</vt:lpwstr>
  </property>
  <property fmtid="{D5CDD505-2E9C-101B-9397-08002B2CF9AE}" pid="3" name="CLASSIFICATION">
    <vt:lpwstr>IR-DC-3</vt:lpwstr>
  </property>
  <property fmtid="{D5CDD505-2E9C-101B-9397-08002B2CF9AE}" pid="4" name="MSIP_Label_162b2348-a379-47d7-bf25-1402d7b08038_Enabled">
    <vt:lpwstr>true</vt:lpwstr>
  </property>
  <property fmtid="{D5CDD505-2E9C-101B-9397-08002B2CF9AE}" pid="5" name="MSIP_Label_162b2348-a379-47d7-bf25-1402d7b08038_SetDate">
    <vt:lpwstr>2024-11-21T17:41:36Z</vt:lpwstr>
  </property>
  <property fmtid="{D5CDD505-2E9C-101B-9397-08002B2CF9AE}" pid="6" name="MSIP_Label_162b2348-a379-47d7-bf25-1402d7b08038_Method">
    <vt:lpwstr>Standard</vt:lpwstr>
  </property>
  <property fmtid="{D5CDD505-2E9C-101B-9397-08002B2CF9AE}" pid="7" name="MSIP_Label_162b2348-a379-47d7-bf25-1402d7b08038_Name">
    <vt:lpwstr>Business</vt:lpwstr>
  </property>
  <property fmtid="{D5CDD505-2E9C-101B-9397-08002B2CF9AE}" pid="8" name="MSIP_Label_162b2348-a379-47d7-bf25-1402d7b08038_SiteId">
    <vt:lpwstr>abf9983b-ca77-4f20-9633-ca9c5a847041</vt:lpwstr>
  </property>
  <property fmtid="{D5CDD505-2E9C-101B-9397-08002B2CF9AE}" pid="9" name="MSIP_Label_162b2348-a379-47d7-bf25-1402d7b08038_ActionId">
    <vt:lpwstr>17c00782-f88e-4434-8c83-d5c2c5fe0228</vt:lpwstr>
  </property>
  <property fmtid="{D5CDD505-2E9C-101B-9397-08002B2CF9AE}" pid="10" name="MSIP_Label_162b2348-a379-47d7-bf25-1402d7b08038_ContentBits">
    <vt:lpwstr>0</vt:lpwstr>
  </property>
</Properties>
</file>