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mc:AlternateContent xmlns:mc="http://schemas.openxmlformats.org/markup-compatibility/2006">
    <mc:Choice Requires="x15">
      <x15ac:absPath xmlns:x15ac="http://schemas.microsoft.com/office/spreadsheetml/2010/11/ac" url="https://tranetechnologies-my.sharepoint.com/personal/jmurphy_trane_com/Documents/Documents/Applications/Support/Industry Standards and Codes/ASHRAE Standard 15 and 34/Vent line sizing/"/>
    </mc:Choice>
  </mc:AlternateContent>
  <xr:revisionPtr revIDLastSave="42" documentId="11_0D1C4A70CC40102E59051684F0E6C6DF028A1A09" xr6:coauthVersionLast="47" xr6:coauthVersionMax="47" xr10:uidLastSave="{7D4EDEB4-2600-44E6-851F-CCB165278377}"/>
  <bookViews>
    <workbookView xWindow="22932" yWindow="-108" windowWidth="23256" windowHeight="12456" tabRatio="675" xr2:uid="{00000000-000D-0000-FFFF-FFFF00000000}"/>
  </bookViews>
  <sheets>
    <sheet name="Single Relief Device" sheetId="1" r:id="rId1"/>
    <sheet name="Headered identical reliefs" sheetId="2" r:id="rId2"/>
    <sheet name="Headered different reliefs" sheetId="4" r:id="rId3"/>
  </sheets>
  <definedNames>
    <definedName name="_xlnm.Print_Area" localSheetId="2">'Headered different reliefs'!$A$1:$G$32</definedName>
    <definedName name="_xlnm.Print_Area" localSheetId="1">'Headered identical reliefs'!$A$1:$B$31</definedName>
    <definedName name="_xlnm.Print_Area" localSheetId="0">'Single Relief Device'!$A$1:$B$19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4" l="1"/>
  <c r="F18" i="4"/>
  <c r="G18" i="4"/>
  <c r="B29" i="4" l="1"/>
  <c r="B29" i="2"/>
  <c r="B17" i="2"/>
  <c r="B16" i="2"/>
  <c r="B16" i="1"/>
  <c r="B15" i="1"/>
  <c r="B16" i="4"/>
  <c r="B20" i="4" s="1"/>
  <c r="C16" i="4"/>
  <c r="C20" i="4" s="1"/>
  <c r="D16" i="4"/>
  <c r="D20" i="4" s="1"/>
  <c r="E16" i="4"/>
  <c r="E20" i="4" s="1"/>
  <c r="F16" i="4"/>
  <c r="F20" i="4" s="1"/>
  <c r="G16" i="4"/>
  <c r="G20" i="4"/>
  <c r="G17" i="4"/>
  <c r="F17" i="4"/>
  <c r="E17" i="4"/>
  <c r="D17" i="4"/>
  <c r="C17" i="4"/>
  <c r="C18" i="4" s="1"/>
  <c r="C23" i="4" s="1"/>
  <c r="B17" i="4"/>
  <c r="B18" i="4" s="1"/>
  <c r="B30" i="4"/>
  <c r="G12" i="4"/>
  <c r="G11" i="4"/>
  <c r="G10" i="4"/>
  <c r="F12" i="4"/>
  <c r="F11" i="4"/>
  <c r="F10" i="4"/>
  <c r="E12" i="4"/>
  <c r="E11" i="4"/>
  <c r="E10" i="4"/>
  <c r="D12" i="4"/>
  <c r="D11" i="4"/>
  <c r="D10" i="4"/>
  <c r="C12" i="4"/>
  <c r="C11" i="4"/>
  <c r="C10" i="4"/>
  <c r="B12" i="4"/>
  <c r="B11" i="4"/>
  <c r="B10" i="4"/>
  <c r="C14" i="2"/>
  <c r="B12" i="2"/>
  <c r="B11" i="2"/>
  <c r="B10" i="2"/>
  <c r="B11" i="1"/>
  <c r="B10" i="1"/>
  <c r="C12" i="1"/>
  <c r="B9" i="1"/>
  <c r="D18" i="4" l="1"/>
  <c r="D23" i="4" s="1"/>
  <c r="G21" i="4"/>
  <c r="C21" i="4"/>
  <c r="B30" i="2"/>
  <c r="D21" i="4"/>
  <c r="B21" i="4"/>
  <c r="B18" i="1"/>
  <c r="B31" i="4"/>
  <c r="F21" i="4"/>
  <c r="E21" i="4"/>
  <c r="B18" i="2"/>
  <c r="B20" i="2"/>
  <c r="B21" i="2" l="1"/>
  <c r="B23" i="4"/>
  <c r="B23" i="2"/>
  <c r="F23" i="4" l="1"/>
  <c r="G23" i="4"/>
  <c r="B24" i="4" s="1"/>
  <c r="E23" i="4"/>
  <c r="B31" i="2"/>
  <c r="B3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Murphy, John</author>
    <author>John Murphy</author>
    <author>The Galactic Emperor</author>
  </authors>
  <commentList>
    <comment ref="C5" authorId="0" shapeId="0" xr:uid="{EB07BF6D-8FBA-4D42-9033-CA0DA463DC56}">
      <text>
        <r>
          <rPr>
            <sz val="9"/>
            <color indexed="81"/>
            <rFont val="Tahoma"/>
            <family val="2"/>
          </rPr>
          <t>see Table 9-2
ASHRAE Standard 15-2019
(reproduced at right)</t>
        </r>
      </text>
    </comment>
    <comment ref="C8" authorId="0" shapeId="0" xr:uid="{C89040F6-E21F-4875-9971-3BD2B54DDE84}">
      <text>
        <r>
          <rPr>
            <sz val="9"/>
            <color indexed="81"/>
            <rFont val="Tahoma"/>
            <family val="2"/>
          </rPr>
          <t>per Section 9.7.9.3.2, ASHRAE Standard 15-2019</t>
        </r>
      </text>
    </comment>
    <comment ref="G15" authorId="1" shapeId="0" xr:uid="{00000000-0006-0000-0000-000001000000}">
      <text>
        <r>
          <rPr>
            <sz val="8"/>
            <color indexed="81"/>
            <rFont val="Tahoma"/>
            <family val="2"/>
          </rPr>
          <t>Typical Moody friction factor for fully-turbulent flow</t>
        </r>
      </text>
    </comment>
    <comment ref="G27" authorId="2" shapeId="0" xr:uid="{00000000-0006-0000-0000-000002000000}">
      <text>
        <r>
          <rPr>
            <sz val="8"/>
            <color indexed="81"/>
            <rFont val="Tahoma"/>
            <family val="2"/>
          </rPr>
          <t>Data for 0.5- through 6-inch pipe is from Appendix D in ASHRAE Standard 15-2019. Data for 8- through 14-inch pipe is from Crane Technical Paper No. 410.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Murphy, John</author>
    <author>John Murphy</author>
    <author>The Galactic Emperor</author>
  </authors>
  <commentList>
    <comment ref="C6" authorId="0" shapeId="0" xr:uid="{9C26329D-E8E0-4E46-85A5-0183A9845FE1}">
      <text>
        <r>
          <rPr>
            <sz val="9"/>
            <color indexed="81"/>
            <rFont val="Tahoma"/>
            <family val="2"/>
          </rPr>
          <t>see Table 9-2
ASHRAE Standard 15-2019
(reproduced at right)</t>
        </r>
      </text>
    </comment>
    <comment ref="C9" authorId="0" shapeId="0" xr:uid="{F1BB63BA-FE58-4193-BAAC-C19A8F3A399D}">
      <text>
        <r>
          <rPr>
            <sz val="9"/>
            <color indexed="81"/>
            <rFont val="Tahoma"/>
            <family val="2"/>
          </rPr>
          <t>per Section 9.7.9.3.2, ASHRAE Standard 15-2019</t>
        </r>
      </text>
    </comment>
    <comment ref="G16" authorId="1" shapeId="0" xr:uid="{00000000-0006-0000-0100-000001000000}">
      <text>
        <r>
          <rPr>
            <sz val="8"/>
            <color indexed="81"/>
            <rFont val="Tahoma"/>
            <family val="2"/>
          </rPr>
          <t>Typical Moody friction factor for fully-turbulent flow</t>
        </r>
      </text>
    </comment>
    <comment ref="B18" authorId="1" shapeId="0" xr:uid="{00000000-0006-0000-0100-000002000000}">
      <text>
        <r>
          <rPr>
            <sz val="8"/>
            <color indexed="81"/>
            <rFont val="Tahoma"/>
            <family val="2"/>
          </rPr>
          <t>Right-hand side of Equation 20 from the ASHRAE Standard 15-2001 User's Manual (p. 70)…see example H4</t>
        </r>
      </text>
    </comment>
    <comment ref="B20" authorId="1" shapeId="0" xr:uid="{00000000-0006-0000-0100-000003000000}">
      <text>
        <r>
          <rPr>
            <sz val="8"/>
            <color indexed="81"/>
            <rFont val="Tahoma"/>
            <family val="2"/>
          </rPr>
          <t>Left-hand side of Equation 20 from the ASHRAE Standard 15-2001 User's Manual (p. 70)…see example H4</t>
        </r>
      </text>
    </comment>
    <comment ref="G28" authorId="2" shapeId="0" xr:uid="{00000000-0006-0000-0100-000004000000}">
      <text>
        <r>
          <rPr>
            <sz val="8"/>
            <color indexed="81"/>
            <rFont val="Tahoma"/>
            <family val="2"/>
          </rPr>
          <t>Data for 0.5- through 6-inch pipe is from Appendix D in ASHRAE Standard 15-2019. Data for 8- through 14-inch pipe is from Crane Technical Paper No. 410.</t>
        </r>
      </text>
    </comment>
    <comment ref="B30" authorId="1" shapeId="0" xr:uid="{00000000-0006-0000-0100-000005000000}">
      <text>
        <r>
          <rPr>
            <sz val="8"/>
            <color indexed="81"/>
            <rFont val="Tahoma"/>
            <family val="2"/>
          </rPr>
          <t>Left-hand side of Equation 20 from the ASHRAE Standard 15-2001 User's Manual (p. 70)…see example H4</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Murphy, John</author>
    <author>John Murphy</author>
    <author>The Galactic Emperor</author>
  </authors>
  <commentList>
    <comment ref="H6" authorId="0" shapeId="0" xr:uid="{0B4F0573-5EA4-45BA-95BD-31AFC139AEA9}">
      <text>
        <r>
          <rPr>
            <sz val="9"/>
            <color indexed="81"/>
            <rFont val="Tahoma"/>
            <family val="2"/>
          </rPr>
          <t>see Table 9-2
ASHRAE Standard 15-2019
(reproduced at right)</t>
        </r>
      </text>
    </comment>
    <comment ref="H9" authorId="0" shapeId="0" xr:uid="{A58EF20B-8115-4F32-BCC6-DF95475F68DE}">
      <text>
        <r>
          <rPr>
            <sz val="9"/>
            <color indexed="81"/>
            <rFont val="Tahoma"/>
            <family val="2"/>
          </rPr>
          <t>per Section 9.7.9.3.2, ASHRAE Standard 15-2019</t>
        </r>
      </text>
    </comment>
    <comment ref="K16" authorId="1" shapeId="0" xr:uid="{00000000-0006-0000-0200-000001000000}">
      <text>
        <r>
          <rPr>
            <sz val="8"/>
            <color indexed="81"/>
            <rFont val="Tahoma"/>
            <family val="2"/>
          </rPr>
          <t>Typical Moody friction factor for fully-turbulent flow</t>
        </r>
      </text>
    </comment>
    <comment ref="A18" authorId="1" shapeId="0" xr:uid="{00000000-0006-0000-0200-000002000000}">
      <text>
        <r>
          <rPr>
            <sz val="8"/>
            <color indexed="81"/>
            <rFont val="Tahoma"/>
            <family val="2"/>
          </rPr>
          <t>Right-hand side of Equation 20 from the ASHRAE Standard 15-2001 User's Manual (p. 70)…see example H5</t>
        </r>
      </text>
    </comment>
    <comment ref="A20" authorId="1" shapeId="0" xr:uid="{00000000-0006-0000-0200-000003000000}">
      <text>
        <r>
          <rPr>
            <sz val="8"/>
            <color indexed="81"/>
            <rFont val="Tahoma"/>
            <family val="2"/>
          </rPr>
          <t>Left-hand side of Equation 20 from the ASHRAE Standard 15-2001 User's Manual (p. 70)…see example H5</t>
        </r>
      </text>
    </comment>
    <comment ref="K28" authorId="2" shapeId="0" xr:uid="{00000000-0006-0000-0200-000004000000}">
      <text>
        <r>
          <rPr>
            <sz val="8"/>
            <color indexed="81"/>
            <rFont val="Tahoma"/>
            <family val="2"/>
          </rPr>
          <t>Data for 0.5- through 6-inch pipe is from Appendix D in ASHRAE Standard 15-2019. Data for 8- through 14-inch pipe is from Crane Technical Paper No. 410.</t>
        </r>
      </text>
    </comment>
    <comment ref="A31" authorId="1" shapeId="0" xr:uid="{00000000-0006-0000-0200-000005000000}">
      <text>
        <r>
          <rPr>
            <sz val="8"/>
            <color indexed="81"/>
            <rFont val="Tahoma"/>
            <family val="2"/>
          </rPr>
          <t>Left-hand side of Equation 20 from the ASHRAE Standard 15-2001 User's Manual (p. 70)…see example H5</t>
        </r>
      </text>
    </comment>
  </commentList>
</comments>
</file>

<file path=xl/sharedStrings.xml><?xml version="1.0" encoding="utf-8"?>
<sst xmlns="http://schemas.openxmlformats.org/spreadsheetml/2006/main" count="162" uniqueCount="86">
  <si>
    <t>f</t>
  </si>
  <si>
    <t>Relief device description</t>
  </si>
  <si>
    <t>For a single relief device:</t>
  </si>
  <si>
    <t xml:space="preserve">  Inside diameter of pipe, d (in.)</t>
  </si>
  <si>
    <t xml:space="preserve">  Moody friction factor for pipe, f</t>
  </si>
  <si>
    <t xml:space="preserve">    Moody friction factor for pipe, f</t>
  </si>
  <si>
    <r>
      <t>Relief device description</t>
    </r>
    <r>
      <rPr>
        <b/>
        <sz val="10"/>
        <color indexed="10"/>
        <rFont val="Arial"/>
        <family val="2"/>
      </rPr>
      <t>*</t>
    </r>
  </si>
  <si>
    <t xml:space="preserve">  "Resource" available</t>
  </si>
  <si>
    <t xml:space="preserve">  "Resource" required</t>
  </si>
  <si>
    <t xml:space="preserve">  "Resource" remaining</t>
  </si>
  <si>
    <t>Device 1</t>
  </si>
  <si>
    <t>Device 2</t>
  </si>
  <si>
    <t>Device 3</t>
  </si>
  <si>
    <t>Device 4</t>
  </si>
  <si>
    <t>Device 5</t>
  </si>
  <si>
    <t>Device 6</t>
  </si>
  <si>
    <t xml:space="preserve">  Critical "resource" remaining</t>
  </si>
  <si>
    <t>required entries are highlighted</t>
  </si>
  <si>
    <t xml:space="preserve">    Inside diameter of feeder pipe, d (in.)</t>
  </si>
  <si>
    <t>Diameter of feeder pipe is:</t>
  </si>
  <si>
    <t>connected to a common header:</t>
  </si>
  <si>
    <t>Diameter of header pipe is:</t>
  </si>
  <si>
    <t>connected to a common header</t>
  </si>
  <si>
    <r>
      <t xml:space="preserve">For </t>
    </r>
    <r>
      <rPr>
        <b/>
        <i/>
        <sz val="12"/>
        <rFont val="Arial"/>
        <family val="2"/>
      </rPr>
      <t>different</t>
    </r>
    <r>
      <rPr>
        <b/>
        <sz val="12"/>
        <rFont val="Arial"/>
        <family val="2"/>
      </rPr>
      <t xml:space="preserve"> relief devices</t>
    </r>
  </si>
  <si>
    <r>
      <t xml:space="preserve">For </t>
    </r>
    <r>
      <rPr>
        <b/>
        <i/>
        <sz val="12"/>
        <rFont val="Arial"/>
        <family val="2"/>
      </rPr>
      <t>identical</t>
    </r>
    <r>
      <rPr>
        <b/>
        <sz val="12"/>
        <rFont val="Arial"/>
        <family val="2"/>
      </rPr>
      <t xml:space="preserve"> relief devices</t>
    </r>
  </si>
  <si>
    <t xml:space="preserve">  Set pressure, P (psig)</t>
  </si>
  <si>
    <t>Relief device is designed to open at this pressure</t>
  </si>
  <si>
    <t xml:space="preserve">  Discharge capacity, Cr (lb/min)</t>
  </si>
  <si>
    <t>Refrigerant discharge capacity, as stamped on device or calculated by manufacturer</t>
  </si>
  <si>
    <t xml:space="preserve">  Relief device outlet diameter (in.)</t>
  </si>
  <si>
    <t>Inside diameter of relief device outlet</t>
  </si>
  <si>
    <t>As specified by manufacturer, or selected from following calculations:</t>
  </si>
  <si>
    <t xml:space="preserve">   for a balanced relief valve (0.25 x P + atmospheric pressure)</t>
  </si>
  <si>
    <t xml:space="preserve">  Allowed back pressure at device outlet, P0 (psia)</t>
  </si>
  <si>
    <t>Discharge pipe</t>
  </si>
  <si>
    <t xml:space="preserve">  Nominal pipe size (NPS)</t>
  </si>
  <si>
    <t>Table D-1, ASHRAE 15-2019</t>
  </si>
  <si>
    <t>ID (d), in.</t>
  </si>
  <si>
    <t>NPS, in.</t>
  </si>
  <si>
    <t>Maximum allowable equivalent length of discharge pipe for the entered NPS</t>
  </si>
  <si>
    <t xml:space="preserve">  Absolute pressure at discharge, P2 (psia)</t>
  </si>
  <si>
    <t>Feeder pipe from relief device outlet to header</t>
  </si>
  <si>
    <t xml:space="preserve">  Nominal pipe size (NPS) of feeder pipe</t>
  </si>
  <si>
    <t>Value d from table at right for selected NPS (fills in automatically)</t>
  </si>
  <si>
    <t>Value f from table at right for selected NPS (fills in automatically)</t>
  </si>
  <si>
    <t>"Resource" available to be used in both feeder and common header pipes</t>
  </si>
  <si>
    <t>Enter equivalent length of feeder pipe from the relief device outlet to common header</t>
  </si>
  <si>
    <t>"Resource" available to be used in common header pipe</t>
  </si>
  <si>
    <t xml:space="preserve">  Length of feeder pipe, L (ft.)</t>
  </si>
  <si>
    <t xml:space="preserve">  # of equal relief devices feeding common header</t>
  </si>
  <si>
    <t>Relief devices must be same type, with same Cr, P, and device outlet diameter</t>
  </si>
  <si>
    <t xml:space="preserve">  Length of header pipe, L (ft.)</t>
  </si>
  <si>
    <t>Enter equivalent length of header pipe leading to discharge outside</t>
  </si>
  <si>
    <t>Common header pipe from feeders to outside</t>
  </si>
  <si>
    <t>Pick NPS from dropdown list</t>
  </si>
  <si>
    <t>Feeder 1</t>
  </si>
  <si>
    <t>Feeder 2</t>
  </si>
  <si>
    <t>Feeder 3</t>
  </si>
  <si>
    <t>Feeder 4</t>
  </si>
  <si>
    <t>Feeder 5</t>
  </si>
  <si>
    <t>Feeder 6</t>
  </si>
  <si>
    <t>Enter equivalent length of feeder pipe from relief device outlet to common header</t>
  </si>
  <si>
    <t xml:space="preserve">  Nominal pipe size (NPS) of header pipe</t>
  </si>
  <si>
    <t xml:space="preserve">    Inside diameter of header pipe, d (in.)</t>
  </si>
  <si>
    <t>* Entries in rows 5, 7, and 15 must be left blank for unused columns</t>
  </si>
  <si>
    <t>* All relief devices must have the same Cr, P, and device outlet diameter</t>
  </si>
  <si>
    <t>Allowable equivalent length of pipe, L (ft.)</t>
  </si>
  <si>
    <t>Absolute (atmospheric) pressure at outlet of discharge piping (sea level = 14.7 psia)</t>
  </si>
  <si>
    <t>"Resource" remaining to be used in common header pipe</t>
  </si>
  <si>
    <t>Lowest "resource" remaining from individual feeder pipes calculations</t>
  </si>
  <si>
    <t>(per Section 9.7.9.3.1, ASHRAE Standard 15-2019)</t>
  </si>
  <si>
    <t>"Resource" required in the feeder pipe</t>
  </si>
  <si>
    <t>"Resource" required in the header pipe</t>
  </si>
  <si>
    <t xml:space="preserve">  Sum of Cr for all relief devices (lb/min)</t>
  </si>
  <si>
    <r>
      <t>Explanation</t>
    </r>
    <r>
      <rPr>
        <sz val="10"/>
        <rFont val="Arial"/>
        <family val="2"/>
      </rPr>
      <t xml:space="preserve"> (see Trane application manual APP-APM001-EN, dated Nov 2020)</t>
    </r>
  </si>
  <si>
    <t>Trane believes the facts and suggestions presented here to be accurate. However, final design and application decisions are your responsibility. Trane disclaims any responsibility for actions taken on the material presented.</t>
  </si>
  <si>
    <t>Elevation, ft.</t>
  </si>
  <si>
    <t>Pa, psia</t>
  </si>
  <si>
    <t>Table 9-2, ASHRAE 15-2019</t>
  </si>
  <si>
    <t xml:space="preserve">   for a conventional relief valve (0.15 x P + atmospheric pressure), including RuptureGuard</t>
  </si>
  <si>
    <r>
      <t xml:space="preserve">Pick NPS from dropdown list </t>
    </r>
    <r>
      <rPr>
        <sz val="10"/>
        <color rgb="FFFF0000"/>
        <rFont val="Arial"/>
        <family val="2"/>
      </rPr>
      <t>(must be &gt;= Relief device outlet diameter, Row 7)</t>
    </r>
  </si>
  <si>
    <t>"Resource" required in the feeder pipe (Row 20) must be &lt; "Resource" available (Row 18)</t>
  </si>
  <si>
    <t>"Resource" required in the header pipe (Row 31) must be &lt; Critical "resource" remaining (Row 24)</t>
  </si>
  <si>
    <t xml:space="preserve">   for a rupture disk alone, fusible plug, or pilot-operated valve (0.50 x P + atmospheric pressure)</t>
  </si>
  <si>
    <r>
      <t xml:space="preserve">Pick NPS from dropdown list </t>
    </r>
    <r>
      <rPr>
        <sz val="10"/>
        <color rgb="FFFF0000"/>
        <rFont val="Arial"/>
        <family val="2"/>
      </rPr>
      <t>(must be &gt;= relief device outlet diameter, Row 8)</t>
    </r>
  </si>
  <si>
    <t>"Resource" required in the header pipe (Row 30) must be &lt; "Resource" remaining (Row 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</si>
</sst>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000"/>
  </numFmts>
  <fonts count="17" x14ac:knownFonts="1">
    <font>
      <sz val="10"/>
      <name val="Arial"/>
    </font>
    <font>
      <b/>
      <sz val="10"/>
      <name val="Arial"/>
      <family val="2"/>
    </font>
    <font>
      <b/>
      <sz val="10"/>
      <color indexed="10"/>
      <name val="Arial"/>
      <family val="2"/>
    </font>
    <font>
      <sz val="10"/>
      <color indexed="10"/>
      <name val="Arial"/>
      <family val="2"/>
    </font>
    <font>
      <sz val="10"/>
      <name val="Arial"/>
      <family val="2"/>
    </font>
    <font>
      <sz val="10"/>
      <color indexed="12"/>
      <name val="Arial"/>
      <family val="2"/>
    </font>
    <font>
      <b/>
      <sz val="10"/>
      <color indexed="8"/>
      <name val="Arial"/>
      <family val="2"/>
    </font>
    <font>
      <sz val="10"/>
      <color indexed="8"/>
      <name val="Arial"/>
      <family val="2"/>
    </font>
    <font>
      <sz val="10"/>
      <color indexed="17"/>
      <name val="Arial"/>
      <family val="2"/>
    </font>
    <font>
      <b/>
      <sz val="12"/>
      <name val="Arial"/>
      <family val="2"/>
    </font>
    <font>
      <sz val="8"/>
      <color indexed="81"/>
      <name val="Tahoma"/>
      <family val="2"/>
    </font>
    <font>
      <b/>
      <i/>
      <sz val="12"/>
      <name val="Arial"/>
      <family val="2"/>
    </font>
    <font>
      <sz val="8"/>
      <name val="Arial"/>
      <family val="2"/>
    </font>
    <font>
      <sz val="10"/>
      <color indexed="10"/>
      <name val="Arial"/>
      <family val="2"/>
    </font>
    <font>
      <sz val="10"/>
      <color rgb="FFFF0000"/>
      <name val="Arial"/>
      <family val="2"/>
    </font>
    <font>
      <i/>
      <sz val="8"/>
      <name val="Arial"/>
      <family val="2"/>
    </font>
    <font>
      <sz val="9"/>
      <color indexed="81"/>
      <name val="Tahoma"/>
      <family val="2"/>
    </font>
  </fonts>
  <fills count="3">
    <fill>
      <patternFill patternType="none"/>
    </fill>
    <fill>
      <patternFill patternType="gray125"/>
    </fill>
    <fill>
      <patternFill patternType="solid">
        <fgColor rgb="FFFFFF00"/>
        <bgColor indexed="64"/>
      </patternFill>
    </fill>
  </fills>
  <borders count="1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64">
    <xf numFmtId="0" fontId="0" fillId="0" borderId="0" xfId="0"/>
    <xf numFmtId="0" fontId="9" fillId="0" borderId="0" xfId="0" applyFont="1" applyAlignment="1">
      <alignment vertical="center"/>
    </xf>
    <xf numFmtId="0" fontId="0" fillId="0" borderId="0" xfId="0" applyAlignment="1">
      <alignment vertical="center"/>
    </xf>
    <xf numFmtId="0" fontId="0" fillId="2" borderId="0" xfId="0" applyFill="1" applyAlignment="1">
      <alignment vertical="center"/>
    </xf>
    <xf numFmtId="0" fontId="3" fillId="0" borderId="0" xfId="0" applyFont="1" applyAlignment="1">
      <alignment vertical="center"/>
    </xf>
    <xf numFmtId="0" fontId="1" fillId="0" borderId="0" xfId="0" applyFont="1" applyAlignment="1">
      <alignment vertical="center"/>
    </xf>
    <xf numFmtId="0" fontId="0" fillId="0" borderId="0" xfId="0" applyAlignment="1">
      <alignment horizontal="left" vertical="center"/>
    </xf>
    <xf numFmtId="0" fontId="0" fillId="0" borderId="7" xfId="0" applyBorder="1" applyAlignment="1">
      <alignment vertical="center"/>
    </xf>
    <xf numFmtId="0" fontId="0" fillId="0" borderId="1" xfId="0" applyBorder="1" applyAlignment="1">
      <alignment horizontal="center" vertical="center"/>
    </xf>
    <xf numFmtId="0" fontId="0" fillId="0" borderId="3" xfId="0" applyBorder="1" applyAlignment="1">
      <alignment horizontal="center" vertical="center"/>
    </xf>
    <xf numFmtId="0" fontId="4" fillId="0" borderId="2" xfId="0" applyFont="1" applyBorder="1" applyAlignment="1">
      <alignment vertical="center"/>
    </xf>
    <xf numFmtId="0" fontId="4" fillId="0" borderId="3" xfId="0" applyFont="1" applyBorder="1" applyAlignment="1">
      <alignment vertical="center"/>
    </xf>
    <xf numFmtId="0" fontId="5" fillId="0" borderId="0" xfId="0" applyFont="1" applyAlignment="1">
      <alignment horizontal="right" vertical="center"/>
    </xf>
    <xf numFmtId="0" fontId="4" fillId="0" borderId="0" xfId="0" applyFont="1" applyAlignment="1">
      <alignment vertical="center"/>
    </xf>
    <xf numFmtId="166" fontId="4" fillId="0" borderId="5" xfId="0" applyNumberFormat="1"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5" xfId="0" applyFont="1" applyBorder="1" applyAlignment="1">
      <alignment vertical="center"/>
    </xf>
    <xf numFmtId="0" fontId="8" fillId="0" borderId="0" xfId="0" applyFont="1" applyAlignment="1">
      <alignment horizontal="right" vertical="center"/>
    </xf>
    <xf numFmtId="1" fontId="5" fillId="0" borderId="0" xfId="0" applyNumberFormat="1" applyFont="1" applyAlignment="1">
      <alignment horizontal="right" vertical="center"/>
    </xf>
    <xf numFmtId="165" fontId="4" fillId="0" borderId="7" xfId="0" applyNumberFormat="1" applyFont="1" applyBorder="1" applyAlignment="1">
      <alignment vertical="center"/>
    </xf>
    <xf numFmtId="0" fontId="0" fillId="2" borderId="5" xfId="0" applyFill="1" applyBorder="1" applyAlignment="1">
      <alignment vertical="center"/>
    </xf>
    <xf numFmtId="0" fontId="1"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vertical="center"/>
    </xf>
    <xf numFmtId="1" fontId="5" fillId="0" borderId="0" xfId="0" applyNumberFormat="1" applyFont="1" applyAlignment="1">
      <alignment horizontal="center" vertical="center"/>
    </xf>
    <xf numFmtId="0" fontId="0" fillId="2" borderId="7" xfId="0" applyFill="1" applyBorder="1" applyAlignment="1">
      <alignment vertical="center"/>
    </xf>
    <xf numFmtId="0" fontId="0" fillId="2" borderId="8" xfId="0" applyFill="1" applyBorder="1" applyAlignment="1">
      <alignment vertical="center"/>
    </xf>
    <xf numFmtId="0" fontId="0" fillId="0" borderId="0" xfId="0" applyAlignment="1">
      <alignment horizontal="right" vertical="center"/>
    </xf>
    <xf numFmtId="0" fontId="3" fillId="0" borderId="0" xfId="0" applyFont="1" applyAlignment="1">
      <alignment horizontal="left" vertical="center"/>
    </xf>
    <xf numFmtId="2" fontId="7" fillId="0" borderId="0" xfId="0" applyNumberFormat="1" applyFont="1" applyAlignment="1">
      <alignment horizontal="center" vertical="center"/>
    </xf>
    <xf numFmtId="0" fontId="6" fillId="0" borderId="0" xfId="0" applyFont="1" applyAlignment="1">
      <alignment vertical="center"/>
    </xf>
    <xf numFmtId="0" fontId="0" fillId="0" borderId="2" xfId="0" applyBorder="1" applyAlignment="1">
      <alignment vertical="center"/>
    </xf>
    <xf numFmtId="0" fontId="0" fillId="0" borderId="8" xfId="0" applyBorder="1" applyAlignment="1">
      <alignment vertical="center"/>
    </xf>
    <xf numFmtId="0" fontId="3" fillId="0" borderId="0" xfId="0" applyFont="1" applyAlignment="1">
      <alignment vertical="center" wrapText="1"/>
    </xf>
    <xf numFmtId="0" fontId="2" fillId="0" borderId="0" xfId="0" applyFont="1" applyAlignment="1">
      <alignment horizontal="right" vertical="center"/>
    </xf>
    <xf numFmtId="0" fontId="13" fillId="0" borderId="0" xfId="0" applyFont="1" applyAlignment="1">
      <alignment vertical="center"/>
    </xf>
    <xf numFmtId="0" fontId="7" fillId="0" borderId="0" xfId="0" applyFont="1" applyAlignment="1">
      <alignment vertical="center"/>
    </xf>
    <xf numFmtId="0" fontId="5" fillId="0" borderId="0" xfId="0" applyFont="1" applyAlignment="1">
      <alignment vertical="center"/>
    </xf>
    <xf numFmtId="0" fontId="0" fillId="0" borderId="3" xfId="0" applyBorder="1" applyAlignment="1">
      <alignment vertical="center"/>
    </xf>
    <xf numFmtId="0" fontId="0" fillId="0" borderId="5" xfId="0" applyBorder="1" applyAlignment="1">
      <alignment vertical="center"/>
    </xf>
    <xf numFmtId="166" fontId="0" fillId="0" borderId="5" xfId="0" applyNumberFormat="1" applyBorder="1" applyAlignment="1">
      <alignment vertical="center"/>
    </xf>
    <xf numFmtId="164" fontId="2" fillId="0" borderId="0" xfId="0" applyNumberFormat="1" applyFont="1" applyAlignment="1">
      <alignment vertical="center"/>
    </xf>
    <xf numFmtId="2" fontId="3" fillId="0" borderId="0" xfId="0" applyNumberFormat="1" applyFont="1" applyAlignment="1">
      <alignment vertical="center"/>
    </xf>
    <xf numFmtId="165" fontId="0" fillId="0" borderId="7" xfId="0" applyNumberFormat="1" applyBorder="1" applyAlignment="1">
      <alignment vertical="center"/>
    </xf>
    <xf numFmtId="0" fontId="1" fillId="2" borderId="0" xfId="0" applyFont="1" applyFill="1" applyAlignment="1">
      <alignment vertical="center"/>
    </xf>
    <xf numFmtId="0" fontId="6" fillId="2" borderId="0" xfId="0" applyFont="1" applyFill="1" applyAlignment="1">
      <alignment horizontal="right" vertical="center"/>
    </xf>
    <xf numFmtId="0" fontId="4" fillId="0" borderId="2" xfId="0" applyFont="1" applyBorder="1" applyAlignment="1">
      <alignment horizontal="center" vertical="center"/>
    </xf>
    <xf numFmtId="0" fontId="4" fillId="0" borderId="1" xfId="0" applyFont="1" applyBorder="1" applyAlignment="1">
      <alignment horizontal="center" vertical="center"/>
    </xf>
    <xf numFmtId="2" fontId="5" fillId="0" borderId="0" xfId="0" applyNumberFormat="1" applyFont="1" applyAlignment="1">
      <alignment vertical="center"/>
    </xf>
    <xf numFmtId="0" fontId="1" fillId="0" borderId="0" xfId="0" applyFont="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2" fontId="4" fillId="0" borderId="4" xfId="0" applyNumberFormat="1" applyFont="1" applyBorder="1" applyAlignment="1">
      <alignment horizontal="center" vertical="center"/>
    </xf>
    <xf numFmtId="0" fontId="0" fillId="2" borderId="4" xfId="0" applyFill="1" applyBorder="1" applyAlignment="1">
      <alignment horizontal="center" vertical="center"/>
    </xf>
    <xf numFmtId="0" fontId="0" fillId="2" borderId="6" xfId="0" applyFill="1"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12" fillId="0" borderId="0" xfId="0" applyFont="1" applyAlignment="1">
      <alignment horizontal="right" vertical="center"/>
    </xf>
    <xf numFmtId="0" fontId="15" fillId="0" borderId="0" xfId="0" applyFont="1" applyAlignment="1">
      <alignment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349251</xdr:colOff>
      <xdr:row>19</xdr:row>
      <xdr:rowOff>50801</xdr:rowOff>
    </xdr:from>
    <xdr:to>
      <xdr:col>0</xdr:col>
      <xdr:colOff>2838451</xdr:colOff>
      <xdr:row>23</xdr:row>
      <xdr:rowOff>151131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l="12763" r="12561" b="54400"/>
        <a:stretch/>
      </xdr:blipFill>
      <xdr:spPr>
        <a:xfrm>
          <a:off x="349251" y="3225801"/>
          <a:ext cx="2489200" cy="75565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9"/>
  <sheetViews>
    <sheetView tabSelected="1" workbookViewId="0"/>
  </sheetViews>
  <sheetFormatPr defaultColWidth="9.109375" defaultRowHeight="13.2" x14ac:dyDescent="0.25"/>
  <cols>
    <col min="1" max="1" width="41.77734375" style="2" bestFit="1" customWidth="1"/>
    <col min="2" max="2" width="9.109375" style="2"/>
    <col min="3" max="3" width="74.33203125" style="2" bestFit="1" customWidth="1"/>
    <col min="4" max="4" width="6.77734375" style="2" customWidth="1"/>
    <col min="5" max="5" width="7.5546875" style="2" customWidth="1"/>
    <col min="6" max="6" width="8.33203125" style="2" bestFit="1" customWidth="1"/>
    <col min="7" max="7" width="8.77734375" style="2" customWidth="1"/>
    <col min="8" max="8" width="9.109375" style="2"/>
    <col min="9" max="9" width="10.77734375" style="2" customWidth="1"/>
    <col min="10" max="16384" width="9.109375" style="2"/>
  </cols>
  <sheetData>
    <row r="1" spans="1:10" ht="15.6" x14ac:dyDescent="0.25">
      <c r="A1" s="1" t="s">
        <v>2</v>
      </c>
      <c r="C1" s="3" t="s">
        <v>17</v>
      </c>
    </row>
    <row r="2" spans="1:10" x14ac:dyDescent="0.25">
      <c r="A2" s="59" t="s">
        <v>75</v>
      </c>
    </row>
    <row r="3" spans="1:10" x14ac:dyDescent="0.25">
      <c r="A3" s="5" t="s">
        <v>1</v>
      </c>
      <c r="C3" s="5" t="s">
        <v>74</v>
      </c>
      <c r="D3" s="5"/>
    </row>
    <row r="4" spans="1:10" x14ac:dyDescent="0.25">
      <c r="A4" s="2" t="s">
        <v>25</v>
      </c>
      <c r="B4" s="45">
        <v>15</v>
      </c>
      <c r="C4" s="6" t="s">
        <v>26</v>
      </c>
      <c r="D4" s="6"/>
    </row>
    <row r="5" spans="1:10" ht="13.8" thickBot="1" x14ac:dyDescent="0.3">
      <c r="A5" s="13" t="s">
        <v>40</v>
      </c>
      <c r="B5" s="45">
        <v>14.7</v>
      </c>
      <c r="C5" s="13" t="s">
        <v>67</v>
      </c>
      <c r="I5" s="5" t="s">
        <v>78</v>
      </c>
    </row>
    <row r="6" spans="1:10" ht="13.8" thickBot="1" x14ac:dyDescent="0.3">
      <c r="A6" s="2" t="s">
        <v>27</v>
      </c>
      <c r="B6" s="45">
        <v>64</v>
      </c>
      <c r="C6" s="2" t="s">
        <v>28</v>
      </c>
      <c r="I6" s="60" t="s">
        <v>76</v>
      </c>
      <c r="J6" s="61" t="s">
        <v>77</v>
      </c>
    </row>
    <row r="7" spans="1:10" x14ac:dyDescent="0.25">
      <c r="A7" s="2" t="s">
        <v>29</v>
      </c>
      <c r="B7" s="46">
        <v>3</v>
      </c>
      <c r="C7" s="2" t="s">
        <v>30</v>
      </c>
      <c r="I7" s="8">
        <v>0</v>
      </c>
      <c r="J7" s="9">
        <v>14.7</v>
      </c>
    </row>
    <row r="8" spans="1:10" x14ac:dyDescent="0.25">
      <c r="A8" s="2" t="s">
        <v>33</v>
      </c>
      <c r="B8" s="45">
        <v>22.2</v>
      </c>
      <c r="C8" s="2" t="s">
        <v>31</v>
      </c>
      <c r="I8" s="56">
        <v>500</v>
      </c>
      <c r="J8" s="62">
        <v>14.4</v>
      </c>
    </row>
    <row r="9" spans="1:10" x14ac:dyDescent="0.25">
      <c r="B9" s="12">
        <f>(0.15*B4)+B5</f>
        <v>16.95</v>
      </c>
      <c r="C9" s="13" t="s">
        <v>79</v>
      </c>
      <c r="I9" s="56">
        <v>1000</v>
      </c>
      <c r="J9" s="62">
        <v>14.2</v>
      </c>
    </row>
    <row r="10" spans="1:10" x14ac:dyDescent="0.25">
      <c r="B10" s="12">
        <f>(0.25*B4)+B5</f>
        <v>18.45</v>
      </c>
      <c r="C10" s="2" t="s">
        <v>32</v>
      </c>
      <c r="I10" s="56">
        <v>1500</v>
      </c>
      <c r="J10" s="62">
        <v>13.9</v>
      </c>
    </row>
    <row r="11" spans="1:10" x14ac:dyDescent="0.25">
      <c r="B11" s="12">
        <f>(0.5*B4)+B5</f>
        <v>22.2</v>
      </c>
      <c r="C11" s="13" t="s">
        <v>83</v>
      </c>
      <c r="I11" s="56">
        <v>2000</v>
      </c>
      <c r="J11" s="62">
        <v>13.7</v>
      </c>
    </row>
    <row r="12" spans="1:10" x14ac:dyDescent="0.25">
      <c r="C12" s="24" t="str">
        <f>IF(B14&lt;B7,"Relief pipe diameter must equal or exceed relief device diameter","")</f>
        <v/>
      </c>
      <c r="D12" s="24"/>
      <c r="I12" s="56">
        <v>2500</v>
      </c>
      <c r="J12" s="62">
        <v>13.4</v>
      </c>
    </row>
    <row r="13" spans="1:10" x14ac:dyDescent="0.25">
      <c r="A13" s="5" t="s">
        <v>34</v>
      </c>
      <c r="C13" s="24"/>
      <c r="D13" s="24"/>
      <c r="I13" s="56">
        <v>3000</v>
      </c>
      <c r="J13" s="62">
        <v>13.2</v>
      </c>
    </row>
    <row r="14" spans="1:10" ht="13.8" thickBot="1" x14ac:dyDescent="0.3">
      <c r="A14" s="2" t="s">
        <v>35</v>
      </c>
      <c r="B14" s="45">
        <v>3</v>
      </c>
      <c r="C14" s="13" t="s">
        <v>80</v>
      </c>
      <c r="D14" s="13"/>
      <c r="E14" s="5" t="s">
        <v>36</v>
      </c>
      <c r="I14" s="56">
        <v>3500</v>
      </c>
      <c r="J14" s="62">
        <v>12.9</v>
      </c>
    </row>
    <row r="15" spans="1:10" ht="13.8" thickBot="1" x14ac:dyDescent="0.3">
      <c r="A15" s="2" t="s">
        <v>3</v>
      </c>
      <c r="B15" s="18">
        <f>LOOKUP(B14,E16:E30,F16:F30)</f>
        <v>3.0680000000000001</v>
      </c>
      <c r="C15" s="13" t="s">
        <v>43</v>
      </c>
      <c r="E15" s="48" t="s">
        <v>38</v>
      </c>
      <c r="F15" s="47" t="s">
        <v>37</v>
      </c>
      <c r="G15" s="9" t="s">
        <v>0</v>
      </c>
      <c r="I15" s="56">
        <v>4000</v>
      </c>
      <c r="J15" s="62">
        <v>12.7</v>
      </c>
    </row>
    <row r="16" spans="1:10" x14ac:dyDescent="0.25">
      <c r="A16" s="2" t="s">
        <v>4</v>
      </c>
      <c r="B16" s="18">
        <f>LOOKUP(B14,E16:E30,G16:G30)</f>
        <v>1.7299999999999999E-2</v>
      </c>
      <c r="C16" s="13" t="s">
        <v>44</v>
      </c>
      <c r="E16" s="8">
        <v>0.5</v>
      </c>
      <c r="F16" s="32">
        <v>0.622</v>
      </c>
      <c r="G16" s="39">
        <v>2.5899999999999999E-2</v>
      </c>
      <c r="I16" s="56">
        <v>4500</v>
      </c>
      <c r="J16" s="62">
        <v>12.5</v>
      </c>
    </row>
    <row r="17" spans="1:10" x14ac:dyDescent="0.25">
      <c r="E17" s="56">
        <v>0.75</v>
      </c>
      <c r="F17" s="2">
        <v>0.82399999999999995</v>
      </c>
      <c r="G17" s="41">
        <v>2.4E-2</v>
      </c>
      <c r="I17" s="56">
        <v>5000</v>
      </c>
      <c r="J17" s="62">
        <v>12.2</v>
      </c>
    </row>
    <row r="18" spans="1:10" ht="13.8" thickBot="1" x14ac:dyDescent="0.3">
      <c r="A18" s="35" t="s">
        <v>66</v>
      </c>
      <c r="B18" s="42">
        <f>((0.2146*B15^5*(B8^2-B5^2))/(B16*B6^2))-((B15*LN(B8/B5))/(6*B16))</f>
        <v>215.6333662283966</v>
      </c>
      <c r="C18" s="13" t="s">
        <v>39</v>
      </c>
      <c r="E18" s="57">
        <v>1</v>
      </c>
      <c r="F18" s="7">
        <v>1.0489999999999999</v>
      </c>
      <c r="G18" s="33">
        <v>2.2499999999999999E-2</v>
      </c>
      <c r="I18" s="56">
        <v>6000</v>
      </c>
      <c r="J18" s="62">
        <v>11.8</v>
      </c>
    </row>
    <row r="19" spans="1:10" x14ac:dyDescent="0.25">
      <c r="A19" s="58" t="s">
        <v>70</v>
      </c>
      <c r="E19" s="56">
        <v>1.25</v>
      </c>
      <c r="F19" s="2">
        <v>1.38</v>
      </c>
      <c r="G19" s="40">
        <v>2.0899999999999998E-2</v>
      </c>
      <c r="I19" s="56">
        <v>7000</v>
      </c>
      <c r="J19" s="62">
        <v>11.3</v>
      </c>
    </row>
    <row r="20" spans="1:10" x14ac:dyDescent="0.25">
      <c r="E20" s="56">
        <v>1.5</v>
      </c>
      <c r="F20" s="2">
        <v>1.61</v>
      </c>
      <c r="G20" s="40">
        <v>2.0199999999999999E-2</v>
      </c>
      <c r="I20" s="56">
        <v>8000</v>
      </c>
      <c r="J20" s="62">
        <v>10.9</v>
      </c>
    </row>
    <row r="21" spans="1:10" ht="13.8" thickBot="1" x14ac:dyDescent="0.3">
      <c r="E21" s="56">
        <v>2</v>
      </c>
      <c r="F21" s="2">
        <v>2.0670000000000002</v>
      </c>
      <c r="G21" s="41">
        <v>1.9E-2</v>
      </c>
      <c r="I21" s="56">
        <v>9000</v>
      </c>
      <c r="J21" s="62">
        <v>10.5</v>
      </c>
    </row>
    <row r="22" spans="1:10" ht="13.8" thickBot="1" x14ac:dyDescent="0.3">
      <c r="E22" s="8">
        <v>2.5</v>
      </c>
      <c r="F22" s="32">
        <v>2.4689999999999999</v>
      </c>
      <c r="G22" s="39">
        <v>1.8200000000000001E-2</v>
      </c>
      <c r="I22" s="57">
        <v>10000</v>
      </c>
      <c r="J22" s="63">
        <v>10.1</v>
      </c>
    </row>
    <row r="23" spans="1:10" x14ac:dyDescent="0.25">
      <c r="A23" s="13"/>
      <c r="B23" s="5"/>
      <c r="E23" s="56">
        <v>3</v>
      </c>
      <c r="F23" s="2">
        <v>3.0680000000000001</v>
      </c>
      <c r="G23" s="40">
        <v>1.7299999999999999E-2</v>
      </c>
    </row>
    <row r="24" spans="1:10" ht="13.8" thickBot="1" x14ac:dyDescent="0.3">
      <c r="B24" s="43"/>
      <c r="E24" s="57">
        <v>4</v>
      </c>
      <c r="F24" s="7">
        <v>4.0259999999999998</v>
      </c>
      <c r="G24" s="33">
        <v>1.6299999999999999E-2</v>
      </c>
    </row>
    <row r="25" spans="1:10" x14ac:dyDescent="0.25">
      <c r="E25" s="56">
        <v>5</v>
      </c>
      <c r="F25" s="2">
        <v>5.0469999999999997</v>
      </c>
      <c r="G25" s="40">
        <v>1.55E-2</v>
      </c>
    </row>
    <row r="26" spans="1:10" ht="13.8" thickBot="1" x14ac:dyDescent="0.3">
      <c r="E26" s="57">
        <v>6</v>
      </c>
      <c r="F26" s="44">
        <v>6.0650000000000004</v>
      </c>
      <c r="G26" s="33">
        <v>1.49E-2</v>
      </c>
    </row>
    <row r="27" spans="1:10" x14ac:dyDescent="0.25">
      <c r="E27" s="54">
        <v>8</v>
      </c>
      <c r="F27" s="3">
        <v>7.9809999999999999</v>
      </c>
      <c r="G27" s="21">
        <v>1.41E-2</v>
      </c>
    </row>
    <row r="28" spans="1:10" x14ac:dyDescent="0.25">
      <c r="B28" s="6"/>
      <c r="E28" s="54">
        <v>10</v>
      </c>
      <c r="F28" s="3">
        <v>10.02</v>
      </c>
      <c r="G28" s="21">
        <v>1.35E-2</v>
      </c>
    </row>
    <row r="29" spans="1:10" x14ac:dyDescent="0.25">
      <c r="B29" s="6"/>
      <c r="E29" s="54">
        <v>12</v>
      </c>
      <c r="F29" s="3">
        <v>11.938000000000001</v>
      </c>
      <c r="G29" s="21">
        <v>1.3100000000000001E-2</v>
      </c>
    </row>
    <row r="30" spans="1:10" ht="13.8" thickBot="1" x14ac:dyDescent="0.3">
      <c r="B30" s="6"/>
      <c r="E30" s="55">
        <v>14</v>
      </c>
      <c r="F30" s="26">
        <v>13.124000000000001</v>
      </c>
      <c r="G30" s="27">
        <v>1.3299999999999999E-2</v>
      </c>
    </row>
    <row r="37" spans="1:1" x14ac:dyDescent="0.25">
      <c r="A37" s="5"/>
    </row>
    <row r="43" spans="1:1" x14ac:dyDescent="0.25">
      <c r="A43" s="5"/>
    </row>
    <row r="49" spans="1:1" x14ac:dyDescent="0.25">
      <c r="A49" s="5"/>
    </row>
  </sheetData>
  <phoneticPr fontId="12" type="noConversion"/>
  <dataValidations count="1">
    <dataValidation type="list" allowBlank="1" showInputMessage="1" showErrorMessage="1" sqref="B14" xr:uid="{00000000-0002-0000-0000-000000000000}">
      <formula1>$E$16:$E$30</formula1>
    </dataValidation>
  </dataValidations>
  <pageMargins left="0.75" right="0.75" top="1" bottom="1" header="0.5" footer="0.5"/>
  <pageSetup orientation="portrait" horizontalDpi="1200" verticalDpi="12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0"/>
  <sheetViews>
    <sheetView zoomScale="90" zoomScaleNormal="90" workbookViewId="0"/>
  </sheetViews>
  <sheetFormatPr defaultColWidth="9.109375" defaultRowHeight="13.2" x14ac:dyDescent="0.25"/>
  <cols>
    <col min="1" max="1" width="41.77734375" style="2" bestFit="1" customWidth="1"/>
    <col min="2" max="2" width="10.33203125" style="2" customWidth="1"/>
    <col min="3" max="3" width="74.33203125" style="2" bestFit="1" customWidth="1"/>
    <col min="4" max="4" width="7" style="2" customWidth="1"/>
    <col min="5" max="5" width="8.109375" style="2" customWidth="1"/>
    <col min="6" max="6" width="8.33203125" style="2" bestFit="1" customWidth="1"/>
    <col min="7" max="7" width="8.77734375" style="2" customWidth="1"/>
    <col min="8" max="8" width="9.109375" style="2"/>
    <col min="9" max="9" width="10.77734375" style="2" customWidth="1"/>
    <col min="10" max="16384" width="9.109375" style="2"/>
  </cols>
  <sheetData>
    <row r="1" spans="1:10" ht="15.6" x14ac:dyDescent="0.25">
      <c r="A1" s="1" t="s">
        <v>24</v>
      </c>
      <c r="C1" s="3" t="s">
        <v>17</v>
      </c>
    </row>
    <row r="2" spans="1:10" ht="15.6" x14ac:dyDescent="0.25">
      <c r="A2" s="1" t="s">
        <v>20</v>
      </c>
      <c r="C2" s="34" t="s">
        <v>65</v>
      </c>
      <c r="D2" s="34"/>
    </row>
    <row r="3" spans="1:10" x14ac:dyDescent="0.25">
      <c r="A3" s="59" t="s">
        <v>75</v>
      </c>
    </row>
    <row r="4" spans="1:10" x14ac:dyDescent="0.25">
      <c r="A4" s="5" t="s">
        <v>6</v>
      </c>
      <c r="C4" s="5" t="s">
        <v>74</v>
      </c>
      <c r="D4" s="5"/>
    </row>
    <row r="5" spans="1:10" x14ac:dyDescent="0.25">
      <c r="A5" s="2" t="s">
        <v>25</v>
      </c>
      <c r="B5" s="45">
        <v>15</v>
      </c>
      <c r="C5" s="6" t="s">
        <v>26</v>
      </c>
      <c r="D5" s="6"/>
    </row>
    <row r="6" spans="1:10" ht="13.8" thickBot="1" x14ac:dyDescent="0.3">
      <c r="A6" s="13" t="s">
        <v>40</v>
      </c>
      <c r="B6" s="45">
        <v>14.7</v>
      </c>
      <c r="C6" s="13" t="s">
        <v>67</v>
      </c>
      <c r="D6" s="13"/>
      <c r="I6" s="5" t="s">
        <v>78</v>
      </c>
    </row>
    <row r="7" spans="1:10" ht="13.8" thickBot="1" x14ac:dyDescent="0.3">
      <c r="A7" s="13" t="s">
        <v>27</v>
      </c>
      <c r="B7" s="45">
        <v>64</v>
      </c>
      <c r="C7" s="2" t="s">
        <v>28</v>
      </c>
      <c r="I7" s="60" t="s">
        <v>76</v>
      </c>
      <c r="J7" s="61" t="s">
        <v>77</v>
      </c>
    </row>
    <row r="8" spans="1:10" x14ac:dyDescent="0.25">
      <c r="A8" s="13" t="s">
        <v>29</v>
      </c>
      <c r="B8" s="46">
        <v>3</v>
      </c>
      <c r="C8" s="2" t="s">
        <v>30</v>
      </c>
      <c r="I8" s="8">
        <v>0</v>
      </c>
      <c r="J8" s="9">
        <v>14.7</v>
      </c>
    </row>
    <row r="9" spans="1:10" x14ac:dyDescent="0.25">
      <c r="A9" s="13" t="s">
        <v>33</v>
      </c>
      <c r="B9" s="45">
        <v>22.2</v>
      </c>
      <c r="C9" s="2" t="s">
        <v>31</v>
      </c>
      <c r="I9" s="56">
        <v>500</v>
      </c>
      <c r="J9" s="62">
        <v>14.4</v>
      </c>
    </row>
    <row r="10" spans="1:10" x14ac:dyDescent="0.25">
      <c r="B10" s="12">
        <f>(0.15*B5)+B6</f>
        <v>16.95</v>
      </c>
      <c r="C10" s="13" t="s">
        <v>79</v>
      </c>
      <c r="I10" s="56">
        <v>1000</v>
      </c>
      <c r="J10" s="62">
        <v>14.2</v>
      </c>
    </row>
    <row r="11" spans="1:10" x14ac:dyDescent="0.25">
      <c r="B11" s="12">
        <f>(0.25*B5)+B6</f>
        <v>18.45</v>
      </c>
      <c r="C11" s="2" t="s">
        <v>32</v>
      </c>
      <c r="I11" s="56">
        <v>1500</v>
      </c>
      <c r="J11" s="62">
        <v>13.9</v>
      </c>
    </row>
    <row r="12" spans="1:10" x14ac:dyDescent="0.25">
      <c r="B12" s="12">
        <f>(0.5*B5)+B6</f>
        <v>22.2</v>
      </c>
      <c r="C12" s="13" t="s">
        <v>83</v>
      </c>
      <c r="I12" s="56">
        <v>2000</v>
      </c>
      <c r="J12" s="62">
        <v>13.7</v>
      </c>
    </row>
    <row r="13" spans="1:10" x14ac:dyDescent="0.25">
      <c r="B13" s="12"/>
      <c r="I13" s="56">
        <v>2500</v>
      </c>
      <c r="J13" s="62">
        <v>13.4</v>
      </c>
    </row>
    <row r="14" spans="1:10" x14ac:dyDescent="0.25">
      <c r="A14" s="5" t="s">
        <v>41</v>
      </c>
      <c r="B14" s="12"/>
      <c r="C14" s="24" t="str">
        <f>IF(B15&lt;B8,"Relief pipe diameter must equal or exceed relief device diameter","")</f>
        <v/>
      </c>
      <c r="D14" s="24"/>
      <c r="I14" s="56">
        <v>3000</v>
      </c>
      <c r="J14" s="62">
        <v>13.2</v>
      </c>
    </row>
    <row r="15" spans="1:10" ht="13.8" thickBot="1" x14ac:dyDescent="0.3">
      <c r="A15" s="13" t="s">
        <v>42</v>
      </c>
      <c r="B15" s="45">
        <v>3</v>
      </c>
      <c r="C15" s="13" t="s">
        <v>84</v>
      </c>
      <c r="D15" s="13"/>
      <c r="E15" s="5" t="s">
        <v>36</v>
      </c>
      <c r="I15" s="56">
        <v>3500</v>
      </c>
      <c r="J15" s="62">
        <v>12.9</v>
      </c>
    </row>
    <row r="16" spans="1:10" ht="13.8" thickBot="1" x14ac:dyDescent="0.3">
      <c r="A16" s="2" t="s">
        <v>18</v>
      </c>
      <c r="B16" s="18">
        <f>LOOKUP(B15,E17:E31,F17:F31)</f>
        <v>3.0680000000000001</v>
      </c>
      <c r="C16" s="13" t="s">
        <v>43</v>
      </c>
      <c r="E16" s="48" t="s">
        <v>38</v>
      </c>
      <c r="F16" s="47" t="s">
        <v>37</v>
      </c>
      <c r="G16" s="9" t="s">
        <v>0</v>
      </c>
      <c r="I16" s="56">
        <v>4000</v>
      </c>
      <c r="J16" s="62">
        <v>12.7</v>
      </c>
    </row>
    <row r="17" spans="1:10" x14ac:dyDescent="0.25">
      <c r="A17" s="2" t="s">
        <v>5</v>
      </c>
      <c r="B17" s="18">
        <f>LOOKUP(B15,E17:E31,G17:G31)</f>
        <v>1.7299999999999999E-2</v>
      </c>
      <c r="C17" s="13" t="s">
        <v>44</v>
      </c>
      <c r="E17" s="48">
        <v>0.5</v>
      </c>
      <c r="F17" s="10">
        <v>0.622</v>
      </c>
      <c r="G17" s="11">
        <v>2.5899999999999999E-2</v>
      </c>
      <c r="I17" s="56">
        <v>4500</v>
      </c>
      <c r="J17" s="62">
        <v>12.5</v>
      </c>
    </row>
    <row r="18" spans="1:10" x14ac:dyDescent="0.25">
      <c r="A18" s="13" t="s">
        <v>7</v>
      </c>
      <c r="B18" s="19">
        <f>(0.2146*(B9^2-B6^2)/B17)-((B7^2*LN(B9/B6))/(6*B17*B16^4))</f>
        <v>3249.3697587267789</v>
      </c>
      <c r="C18" s="13" t="s">
        <v>45</v>
      </c>
      <c r="E18" s="51">
        <v>0.75</v>
      </c>
      <c r="F18" s="13">
        <v>0.82399999999999995</v>
      </c>
      <c r="G18" s="14">
        <v>2.4E-2</v>
      </c>
      <c r="I18" s="56">
        <v>5000</v>
      </c>
      <c r="J18" s="62">
        <v>12.2</v>
      </c>
    </row>
    <row r="19" spans="1:10" ht="13.8" thickBot="1" x14ac:dyDescent="0.3">
      <c r="A19" s="13" t="s">
        <v>48</v>
      </c>
      <c r="B19" s="45">
        <v>11</v>
      </c>
      <c r="C19" s="13" t="s">
        <v>61</v>
      </c>
      <c r="E19" s="52">
        <v>1</v>
      </c>
      <c r="F19" s="15">
        <v>1.0489999999999999</v>
      </c>
      <c r="G19" s="16">
        <v>2.2499999999999999E-2</v>
      </c>
      <c r="I19" s="56">
        <v>6000</v>
      </c>
      <c r="J19" s="62">
        <v>11.8</v>
      </c>
    </row>
    <row r="20" spans="1:10" x14ac:dyDescent="0.25">
      <c r="A20" s="13" t="s">
        <v>8</v>
      </c>
      <c r="B20" s="19">
        <f>B19*B7^2/B16^5</f>
        <v>165.75851859649535</v>
      </c>
      <c r="C20" s="13" t="s">
        <v>71</v>
      </c>
      <c r="E20" s="53">
        <v>1.25</v>
      </c>
      <c r="F20" s="13">
        <v>1.38</v>
      </c>
      <c r="G20" s="17">
        <v>2.0899999999999998E-2</v>
      </c>
      <c r="I20" s="56">
        <v>7000</v>
      </c>
      <c r="J20" s="62">
        <v>11.3</v>
      </c>
    </row>
    <row r="21" spans="1:10" x14ac:dyDescent="0.25">
      <c r="A21" s="22" t="s">
        <v>19</v>
      </c>
      <c r="B21" s="23" t="str">
        <f>IF(B20&lt;B18,"OK","Too Small")</f>
        <v>OK</v>
      </c>
      <c r="C21" s="13" t="s">
        <v>81</v>
      </c>
      <c r="D21" s="29"/>
      <c r="E21" s="51">
        <v>1.5</v>
      </c>
      <c r="F21" s="13">
        <v>1.61</v>
      </c>
      <c r="G21" s="17">
        <v>2.0199999999999999E-2</v>
      </c>
      <c r="I21" s="56">
        <v>8000</v>
      </c>
      <c r="J21" s="62">
        <v>10.9</v>
      </c>
    </row>
    <row r="22" spans="1:10" ht="13.8" thickBot="1" x14ac:dyDescent="0.3">
      <c r="A22" s="22"/>
      <c r="B22" s="35"/>
      <c r="C22" s="24"/>
      <c r="D22" s="24"/>
      <c r="E22" s="51">
        <v>2</v>
      </c>
      <c r="F22" s="13">
        <v>2.0670000000000002</v>
      </c>
      <c r="G22" s="14">
        <v>1.9E-2</v>
      </c>
      <c r="I22" s="56">
        <v>9000</v>
      </c>
      <c r="J22" s="62">
        <v>10.5</v>
      </c>
    </row>
    <row r="23" spans="1:10" ht="13.8" thickBot="1" x14ac:dyDescent="0.3">
      <c r="A23" s="13" t="s">
        <v>9</v>
      </c>
      <c r="B23" s="19">
        <f>B18-B20</f>
        <v>3083.6112401302835</v>
      </c>
      <c r="C23" s="13" t="s">
        <v>47</v>
      </c>
      <c r="E23" s="48">
        <v>2.5</v>
      </c>
      <c r="F23" s="10">
        <v>2.4689999999999999</v>
      </c>
      <c r="G23" s="11">
        <v>1.8200000000000001E-2</v>
      </c>
      <c r="H23" s="36"/>
      <c r="I23" s="57">
        <v>10000</v>
      </c>
      <c r="J23" s="63">
        <v>10.1</v>
      </c>
    </row>
    <row r="24" spans="1:10" x14ac:dyDescent="0.25">
      <c r="E24" s="51">
        <v>3</v>
      </c>
      <c r="F24" s="13">
        <v>3.0680000000000001</v>
      </c>
      <c r="G24" s="17">
        <v>1.7299999999999999E-2</v>
      </c>
      <c r="H24" s="4"/>
    </row>
    <row r="25" spans="1:10" ht="13.8" thickBot="1" x14ac:dyDescent="0.3">
      <c r="A25" s="5" t="s">
        <v>53</v>
      </c>
      <c r="E25" s="52">
        <v>4</v>
      </c>
      <c r="F25" s="15">
        <v>4.0259999999999998</v>
      </c>
      <c r="G25" s="16">
        <v>1.6299999999999999E-2</v>
      </c>
    </row>
    <row r="26" spans="1:10" x14ac:dyDescent="0.25">
      <c r="A26" s="13" t="s">
        <v>49</v>
      </c>
      <c r="B26" s="45">
        <v>3</v>
      </c>
      <c r="C26" s="13" t="s">
        <v>50</v>
      </c>
      <c r="E26" s="48">
        <v>5</v>
      </c>
      <c r="F26" s="10">
        <v>5.0469999999999997</v>
      </c>
      <c r="G26" s="11">
        <v>1.55E-2</v>
      </c>
    </row>
    <row r="27" spans="1:10" ht="13.8" thickBot="1" x14ac:dyDescent="0.3">
      <c r="A27" s="13" t="s">
        <v>51</v>
      </c>
      <c r="B27" s="45">
        <v>40</v>
      </c>
      <c r="C27" s="13" t="s">
        <v>52</v>
      </c>
      <c r="E27" s="52">
        <v>6</v>
      </c>
      <c r="F27" s="20">
        <v>6.0650000000000004</v>
      </c>
      <c r="G27" s="16">
        <v>1.49E-2</v>
      </c>
    </row>
    <row r="28" spans="1:10" x14ac:dyDescent="0.25">
      <c r="A28" s="13" t="s">
        <v>62</v>
      </c>
      <c r="B28" s="45">
        <v>4</v>
      </c>
      <c r="C28" s="13" t="s">
        <v>54</v>
      </c>
      <c r="E28" s="54">
        <v>8</v>
      </c>
      <c r="F28" s="3">
        <v>7.9809999999999999</v>
      </c>
      <c r="G28" s="21">
        <v>1.41E-2</v>
      </c>
    </row>
    <row r="29" spans="1:10" x14ac:dyDescent="0.25">
      <c r="A29" s="13" t="s">
        <v>63</v>
      </c>
      <c r="B29" s="18">
        <f>LOOKUP(B28,E17:E31,F17:F31)</f>
        <v>4.0259999999999998</v>
      </c>
      <c r="C29" s="13" t="s">
        <v>43</v>
      </c>
      <c r="E29" s="54">
        <v>10</v>
      </c>
      <c r="F29" s="3">
        <v>10.02</v>
      </c>
      <c r="G29" s="21">
        <v>1.35E-2</v>
      </c>
    </row>
    <row r="30" spans="1:10" x14ac:dyDescent="0.25">
      <c r="A30" s="13" t="s">
        <v>8</v>
      </c>
      <c r="B30" s="19">
        <f>B27*(B26*B7)^2/B29^5</f>
        <v>1394.0989367516452</v>
      </c>
      <c r="C30" s="13" t="s">
        <v>72</v>
      </c>
      <c r="E30" s="54">
        <v>12</v>
      </c>
      <c r="F30" s="3">
        <v>11.938000000000001</v>
      </c>
      <c r="G30" s="21">
        <v>1.3100000000000001E-2</v>
      </c>
    </row>
    <row r="31" spans="1:10" ht="13.8" thickBot="1" x14ac:dyDescent="0.3">
      <c r="A31" s="22" t="s">
        <v>21</v>
      </c>
      <c r="B31" s="23" t="str">
        <f>IF(B30&lt;B23,"OK","Too small")</f>
        <v>OK</v>
      </c>
      <c r="C31" s="13" t="s">
        <v>85</v>
      </c>
      <c r="D31" s="29"/>
      <c r="E31" s="55">
        <v>14</v>
      </c>
      <c r="F31" s="26">
        <v>13.124000000000001</v>
      </c>
      <c r="G31" s="27">
        <v>1.3299999999999999E-2</v>
      </c>
    </row>
    <row r="32" spans="1:10" x14ac:dyDescent="0.25">
      <c r="A32" s="22"/>
      <c r="B32" s="23"/>
      <c r="C32" s="37"/>
      <c r="D32" s="29"/>
    </row>
    <row r="33" spans="1:5" x14ac:dyDescent="0.25">
      <c r="A33" s="22"/>
      <c r="D33" s="37"/>
    </row>
    <row r="35" spans="1:5" x14ac:dyDescent="0.25">
      <c r="B35" s="25"/>
    </row>
    <row r="37" spans="1:5" x14ac:dyDescent="0.25">
      <c r="B37" s="5"/>
    </row>
    <row r="38" spans="1:5" x14ac:dyDescent="0.25">
      <c r="B38" s="49"/>
      <c r="E38" s="38"/>
    </row>
    <row r="39" spans="1:5" x14ac:dyDescent="0.25">
      <c r="B39" s="49"/>
      <c r="E39" s="38"/>
    </row>
    <row r="40" spans="1:5" x14ac:dyDescent="0.25">
      <c r="B40" s="49"/>
    </row>
  </sheetData>
  <phoneticPr fontId="12" type="noConversion"/>
  <dataValidations count="1">
    <dataValidation type="list" showInputMessage="1" showErrorMessage="1" errorTitle="Invalid Entry" error="Choose a value from the NPS column of Table 1" sqref="B28 B15" xr:uid="{00000000-0002-0000-0100-000000000000}">
      <formula1>$E$17:$E$31</formula1>
    </dataValidation>
  </dataValidations>
  <pageMargins left="0.75" right="0.75" top="1" bottom="1" header="0.5" footer="0.5"/>
  <pageSetup orientation="portrait" horizontalDpi="1200" verticalDpi="120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6"/>
  <sheetViews>
    <sheetView zoomScale="90" zoomScaleNormal="90" workbookViewId="0"/>
  </sheetViews>
  <sheetFormatPr defaultColWidth="9.109375" defaultRowHeight="13.2" x14ac:dyDescent="0.25"/>
  <cols>
    <col min="1" max="1" width="41.77734375" style="2" bestFit="1" customWidth="1"/>
    <col min="2" max="7" width="10.33203125" style="2" customWidth="1"/>
    <col min="8" max="8" width="74.33203125" style="2" bestFit="1" customWidth="1"/>
    <col min="9" max="9" width="8.21875" style="2" customWidth="1"/>
    <col min="10" max="10" width="8.33203125" style="2" bestFit="1" customWidth="1"/>
    <col min="11" max="11" width="7.6640625" style="2" customWidth="1"/>
    <col min="12" max="12" width="9.109375" style="2"/>
    <col min="13" max="13" width="10.77734375" style="2" customWidth="1"/>
    <col min="14" max="16384" width="9.109375" style="2"/>
  </cols>
  <sheetData>
    <row r="1" spans="1:14" ht="15.6" x14ac:dyDescent="0.25">
      <c r="A1" s="1" t="s">
        <v>23</v>
      </c>
      <c r="C1" s="3" t="s">
        <v>17</v>
      </c>
      <c r="D1" s="3"/>
      <c r="E1" s="3"/>
    </row>
    <row r="2" spans="1:14" ht="15.6" x14ac:dyDescent="0.25">
      <c r="A2" s="1" t="s">
        <v>22</v>
      </c>
      <c r="C2" s="4" t="s">
        <v>64</v>
      </c>
    </row>
    <row r="3" spans="1:14" x14ac:dyDescent="0.25">
      <c r="A3" s="59" t="s">
        <v>75</v>
      </c>
    </row>
    <row r="4" spans="1:14" x14ac:dyDescent="0.25">
      <c r="A4" s="5" t="s">
        <v>6</v>
      </c>
      <c r="B4" s="50" t="s">
        <v>10</v>
      </c>
      <c r="C4" s="50" t="s">
        <v>11</v>
      </c>
      <c r="D4" s="50" t="s">
        <v>12</v>
      </c>
      <c r="E4" s="50" t="s">
        <v>13</v>
      </c>
      <c r="F4" s="50" t="s">
        <v>14</v>
      </c>
      <c r="G4" s="50" t="s">
        <v>15</v>
      </c>
      <c r="H4" s="5" t="s">
        <v>74</v>
      </c>
    </row>
    <row r="5" spans="1:14" x14ac:dyDescent="0.25">
      <c r="A5" s="13" t="s">
        <v>25</v>
      </c>
      <c r="B5" s="45">
        <v>200</v>
      </c>
      <c r="C5" s="45">
        <v>200</v>
      </c>
      <c r="D5" s="45">
        <v>200</v>
      </c>
      <c r="E5" s="45"/>
      <c r="F5" s="45"/>
      <c r="G5" s="45"/>
      <c r="H5" s="6" t="s">
        <v>26</v>
      </c>
    </row>
    <row r="6" spans="1:14" ht="13.8" thickBot="1" x14ac:dyDescent="0.3">
      <c r="A6" s="13" t="s">
        <v>40</v>
      </c>
      <c r="B6" s="45">
        <v>14.7</v>
      </c>
      <c r="C6" s="45">
        <v>14.7</v>
      </c>
      <c r="D6" s="45">
        <v>14.7</v>
      </c>
      <c r="E6" s="45"/>
      <c r="F6" s="45"/>
      <c r="G6" s="45"/>
      <c r="H6" s="13" t="s">
        <v>67</v>
      </c>
      <c r="M6" s="5" t="s">
        <v>78</v>
      </c>
    </row>
    <row r="7" spans="1:14" ht="13.8" thickBot="1" x14ac:dyDescent="0.3">
      <c r="A7" s="13" t="s">
        <v>27</v>
      </c>
      <c r="B7" s="45">
        <v>78</v>
      </c>
      <c r="C7" s="45">
        <v>48</v>
      </c>
      <c r="D7" s="45">
        <v>48</v>
      </c>
      <c r="E7" s="45"/>
      <c r="F7" s="45"/>
      <c r="G7" s="45"/>
      <c r="H7" s="2" t="s">
        <v>28</v>
      </c>
      <c r="M7" s="60" t="s">
        <v>76</v>
      </c>
      <c r="N7" s="61" t="s">
        <v>77</v>
      </c>
    </row>
    <row r="8" spans="1:14" x14ac:dyDescent="0.25">
      <c r="A8" s="13" t="s">
        <v>29</v>
      </c>
      <c r="B8" s="45">
        <v>1.25</v>
      </c>
      <c r="C8" s="45">
        <v>1.25</v>
      </c>
      <c r="D8" s="45">
        <v>1.25</v>
      </c>
      <c r="E8" s="45"/>
      <c r="F8" s="45"/>
      <c r="G8" s="45"/>
      <c r="H8" s="2" t="s">
        <v>30</v>
      </c>
      <c r="M8" s="8">
        <v>0</v>
      </c>
      <c r="N8" s="9">
        <v>14.7</v>
      </c>
    </row>
    <row r="9" spans="1:14" x14ac:dyDescent="0.25">
      <c r="A9" s="13" t="s">
        <v>33</v>
      </c>
      <c r="B9" s="45">
        <v>44.7</v>
      </c>
      <c r="C9" s="45">
        <v>44.7</v>
      </c>
      <c r="D9" s="45">
        <v>44.7</v>
      </c>
      <c r="E9" s="45"/>
      <c r="F9" s="45"/>
      <c r="G9" s="45"/>
      <c r="H9" s="2" t="s">
        <v>31</v>
      </c>
      <c r="M9" s="56">
        <v>500</v>
      </c>
      <c r="N9" s="62">
        <v>14.4</v>
      </c>
    </row>
    <row r="10" spans="1:14" x14ac:dyDescent="0.25">
      <c r="B10" s="12">
        <f t="shared" ref="B10:G10" si="0">(0.15*B5)+B6</f>
        <v>44.7</v>
      </c>
      <c r="C10" s="12">
        <f t="shared" si="0"/>
        <v>44.7</v>
      </c>
      <c r="D10" s="12">
        <f t="shared" si="0"/>
        <v>44.7</v>
      </c>
      <c r="E10" s="12">
        <f t="shared" si="0"/>
        <v>0</v>
      </c>
      <c r="F10" s="12">
        <f t="shared" si="0"/>
        <v>0</v>
      </c>
      <c r="G10" s="12">
        <f t="shared" si="0"/>
        <v>0</v>
      </c>
      <c r="H10" s="13" t="s">
        <v>79</v>
      </c>
      <c r="M10" s="56">
        <v>1000</v>
      </c>
      <c r="N10" s="62">
        <v>14.2</v>
      </c>
    </row>
    <row r="11" spans="1:14" x14ac:dyDescent="0.25">
      <c r="B11" s="12">
        <f t="shared" ref="B11:G11" si="1">(0.25*B5)+B6</f>
        <v>64.7</v>
      </c>
      <c r="C11" s="12">
        <f t="shared" si="1"/>
        <v>64.7</v>
      </c>
      <c r="D11" s="12">
        <f t="shared" si="1"/>
        <v>64.7</v>
      </c>
      <c r="E11" s="12">
        <f t="shared" si="1"/>
        <v>0</v>
      </c>
      <c r="F11" s="12">
        <f t="shared" si="1"/>
        <v>0</v>
      </c>
      <c r="G11" s="12">
        <f t="shared" si="1"/>
        <v>0</v>
      </c>
      <c r="H11" s="2" t="s">
        <v>32</v>
      </c>
      <c r="M11" s="56">
        <v>1500</v>
      </c>
      <c r="N11" s="62">
        <v>13.9</v>
      </c>
    </row>
    <row r="12" spans="1:14" x14ac:dyDescent="0.25">
      <c r="B12" s="12">
        <f t="shared" ref="B12:G12" si="2">(0.5*B5)+B6</f>
        <v>114.7</v>
      </c>
      <c r="C12" s="12">
        <f t="shared" si="2"/>
        <v>114.7</v>
      </c>
      <c r="D12" s="12">
        <f t="shared" si="2"/>
        <v>114.7</v>
      </c>
      <c r="E12" s="12">
        <f t="shared" si="2"/>
        <v>0</v>
      </c>
      <c r="F12" s="12">
        <f t="shared" si="2"/>
        <v>0</v>
      </c>
      <c r="G12" s="12">
        <f t="shared" si="2"/>
        <v>0</v>
      </c>
      <c r="H12" s="13" t="s">
        <v>83</v>
      </c>
      <c r="M12" s="56">
        <v>2000</v>
      </c>
      <c r="N12" s="62">
        <v>13.7</v>
      </c>
    </row>
    <row r="13" spans="1:14" x14ac:dyDescent="0.25">
      <c r="M13" s="56">
        <v>2500</v>
      </c>
      <c r="N13" s="62">
        <v>13.4</v>
      </c>
    </row>
    <row r="14" spans="1:14" x14ac:dyDescent="0.25">
      <c r="A14" s="5" t="s">
        <v>41</v>
      </c>
      <c r="B14" s="50" t="s">
        <v>55</v>
      </c>
      <c r="C14" s="50" t="s">
        <v>56</v>
      </c>
      <c r="D14" s="50" t="s">
        <v>57</v>
      </c>
      <c r="E14" s="50" t="s">
        <v>58</v>
      </c>
      <c r="F14" s="50" t="s">
        <v>59</v>
      </c>
      <c r="G14" s="50" t="s">
        <v>60</v>
      </c>
      <c r="H14" s="4"/>
      <c r="M14" s="56">
        <v>3000</v>
      </c>
      <c r="N14" s="62">
        <v>13.2</v>
      </c>
    </row>
    <row r="15" spans="1:14" ht="13.8" thickBot="1" x14ac:dyDescent="0.3">
      <c r="A15" s="13" t="s">
        <v>42</v>
      </c>
      <c r="B15" s="45">
        <v>1.5</v>
      </c>
      <c r="C15" s="45">
        <v>1.25</v>
      </c>
      <c r="D15" s="45">
        <v>1.25</v>
      </c>
      <c r="E15" s="45"/>
      <c r="F15" s="45"/>
      <c r="G15" s="45"/>
      <c r="H15" s="13" t="s">
        <v>84</v>
      </c>
      <c r="I15" s="5" t="s">
        <v>36</v>
      </c>
      <c r="M15" s="56">
        <v>3500</v>
      </c>
      <c r="N15" s="62">
        <v>12.9</v>
      </c>
    </row>
    <row r="16" spans="1:14" ht="13.8" thickBot="1" x14ac:dyDescent="0.3">
      <c r="A16" s="2" t="s">
        <v>18</v>
      </c>
      <c r="B16" s="18">
        <f t="shared" ref="B16:G16" si="3">IF(B5&lt;1,0,LOOKUP(B15,$I17:$I28,$J17:$J28))</f>
        <v>1.61</v>
      </c>
      <c r="C16" s="18">
        <f t="shared" si="3"/>
        <v>1.38</v>
      </c>
      <c r="D16" s="18">
        <f t="shared" si="3"/>
        <v>1.38</v>
      </c>
      <c r="E16" s="18">
        <f t="shared" si="3"/>
        <v>0</v>
      </c>
      <c r="F16" s="18">
        <f t="shared" si="3"/>
        <v>0</v>
      </c>
      <c r="G16" s="18">
        <f t="shared" si="3"/>
        <v>0</v>
      </c>
      <c r="H16" s="13" t="s">
        <v>43</v>
      </c>
      <c r="I16" s="48" t="s">
        <v>38</v>
      </c>
      <c r="J16" s="47" t="s">
        <v>37</v>
      </c>
      <c r="K16" s="9" t="s">
        <v>0</v>
      </c>
      <c r="M16" s="56">
        <v>4000</v>
      </c>
      <c r="N16" s="62">
        <v>12.7</v>
      </c>
    </row>
    <row r="17" spans="1:14" x14ac:dyDescent="0.25">
      <c r="A17" s="2" t="s">
        <v>5</v>
      </c>
      <c r="B17" s="18">
        <f t="shared" ref="B17:G17" si="4">LOOKUP(B15,$I17:$I28,$K17:$K28)</f>
        <v>2.0199999999999999E-2</v>
      </c>
      <c r="C17" s="18">
        <f t="shared" si="4"/>
        <v>2.0899999999999998E-2</v>
      </c>
      <c r="D17" s="18">
        <f t="shared" si="4"/>
        <v>2.0899999999999998E-2</v>
      </c>
      <c r="E17" s="18" t="e">
        <f t="shared" si="4"/>
        <v>#N/A</v>
      </c>
      <c r="F17" s="18" t="e">
        <f t="shared" si="4"/>
        <v>#N/A</v>
      </c>
      <c r="G17" s="18" t="e">
        <f t="shared" si="4"/>
        <v>#N/A</v>
      </c>
      <c r="H17" s="13" t="s">
        <v>44</v>
      </c>
      <c r="I17" s="48">
        <v>0.5</v>
      </c>
      <c r="J17" s="10">
        <v>0.622</v>
      </c>
      <c r="K17" s="11">
        <v>2.5899999999999999E-2</v>
      </c>
      <c r="M17" s="56">
        <v>4500</v>
      </c>
      <c r="N17" s="62">
        <v>12.5</v>
      </c>
    </row>
    <row r="18" spans="1:14" x14ac:dyDescent="0.25">
      <c r="A18" s="13" t="s">
        <v>7</v>
      </c>
      <c r="B18" s="19">
        <f>IF(B5&lt;1,1,(0.2146*(B9^2-B6^2)/B17)-(B7^2*LN(B9/B6)/(6*B17*B16^4)))</f>
        <v>10622.768022982122</v>
      </c>
      <c r="C18" s="19">
        <f t="shared" ref="C18:G18" si="5">IF(C5&lt;1,1,(0.2146*(C9^2-C6^2)/C17)-(C7^2*LN(C9/C6)/(6*C17*C16^4)))</f>
        <v>12663.399127343717</v>
      </c>
      <c r="D18" s="19">
        <f t="shared" si="5"/>
        <v>12663.399127343717</v>
      </c>
      <c r="E18" s="19">
        <f t="shared" si="5"/>
        <v>1</v>
      </c>
      <c r="F18" s="19">
        <f t="shared" si="5"/>
        <v>1</v>
      </c>
      <c r="G18" s="19">
        <f t="shared" si="5"/>
        <v>1</v>
      </c>
      <c r="H18" s="13" t="s">
        <v>45</v>
      </c>
      <c r="I18" s="51">
        <v>0.75</v>
      </c>
      <c r="J18" s="13">
        <v>0.82399999999999995</v>
      </c>
      <c r="K18" s="14">
        <v>2.4E-2</v>
      </c>
      <c r="M18" s="56">
        <v>5000</v>
      </c>
      <c r="N18" s="62">
        <v>12.2</v>
      </c>
    </row>
    <row r="19" spans="1:14" ht="13.8" thickBot="1" x14ac:dyDescent="0.3">
      <c r="A19" s="13" t="s">
        <v>48</v>
      </c>
      <c r="B19" s="45">
        <v>10</v>
      </c>
      <c r="C19" s="45">
        <v>10</v>
      </c>
      <c r="D19" s="45">
        <v>10</v>
      </c>
      <c r="E19" s="45"/>
      <c r="F19" s="45"/>
      <c r="G19" s="45"/>
      <c r="H19" s="13" t="s">
        <v>46</v>
      </c>
      <c r="I19" s="52">
        <v>1</v>
      </c>
      <c r="J19" s="15">
        <v>1.0489999999999999</v>
      </c>
      <c r="K19" s="16">
        <v>2.2499999999999999E-2</v>
      </c>
      <c r="M19" s="56">
        <v>6000</v>
      </c>
      <c r="N19" s="62">
        <v>11.8</v>
      </c>
    </row>
    <row r="20" spans="1:14" x14ac:dyDescent="0.25">
      <c r="A20" s="13" t="s">
        <v>8</v>
      </c>
      <c r="B20" s="19">
        <f t="shared" ref="B20:G20" si="6">IF(B5&lt;1,0,B19*B7^2/B16^5)</f>
        <v>5624.1879454148457</v>
      </c>
      <c r="C20" s="19">
        <f t="shared" si="6"/>
        <v>4603.488289798981</v>
      </c>
      <c r="D20" s="19">
        <f t="shared" si="6"/>
        <v>4603.488289798981</v>
      </c>
      <c r="E20" s="19">
        <f t="shared" si="6"/>
        <v>0</v>
      </c>
      <c r="F20" s="19">
        <f t="shared" si="6"/>
        <v>0</v>
      </c>
      <c r="G20" s="19">
        <f t="shared" si="6"/>
        <v>0</v>
      </c>
      <c r="H20" s="13" t="s">
        <v>71</v>
      </c>
      <c r="I20" s="53">
        <v>1.25</v>
      </c>
      <c r="J20" s="13">
        <v>1.38</v>
      </c>
      <c r="K20" s="17">
        <v>2.0899999999999998E-2</v>
      </c>
      <c r="M20" s="56">
        <v>7000</v>
      </c>
      <c r="N20" s="62">
        <v>11.3</v>
      </c>
    </row>
    <row r="21" spans="1:14" x14ac:dyDescent="0.25">
      <c r="A21" s="22" t="s">
        <v>19</v>
      </c>
      <c r="B21" s="23" t="str">
        <f t="shared" ref="B21:G21" si="7">IF(AND(B20&lt;B18,B8&lt;=B15),"OK","Too Small")</f>
        <v>OK</v>
      </c>
      <c r="C21" s="23" t="str">
        <f t="shared" si="7"/>
        <v>OK</v>
      </c>
      <c r="D21" s="23" t="str">
        <f t="shared" si="7"/>
        <v>OK</v>
      </c>
      <c r="E21" s="23" t="str">
        <f t="shared" si="7"/>
        <v>OK</v>
      </c>
      <c r="F21" s="23" t="str">
        <f t="shared" si="7"/>
        <v>OK</v>
      </c>
      <c r="G21" s="23" t="str">
        <f t="shared" si="7"/>
        <v>OK</v>
      </c>
      <c r="H21" s="13" t="s">
        <v>81</v>
      </c>
      <c r="I21" s="51">
        <v>1.5</v>
      </c>
      <c r="J21" s="13">
        <v>1.61</v>
      </c>
      <c r="K21" s="17">
        <v>2.0199999999999999E-2</v>
      </c>
      <c r="M21" s="56">
        <v>8000</v>
      </c>
      <c r="N21" s="62">
        <v>10.9</v>
      </c>
    </row>
    <row r="22" spans="1:14" ht="13.8" thickBot="1" x14ac:dyDescent="0.3">
      <c r="A22" s="13"/>
      <c r="B22" s="25"/>
      <c r="C22" s="25"/>
      <c r="D22" s="25"/>
      <c r="E22" s="25"/>
      <c r="F22" s="25"/>
      <c r="G22" s="25"/>
      <c r="I22" s="51">
        <v>2</v>
      </c>
      <c r="J22" s="13">
        <v>2.0670000000000002</v>
      </c>
      <c r="K22" s="14">
        <v>1.9E-2</v>
      </c>
      <c r="M22" s="56">
        <v>9000</v>
      </c>
      <c r="N22" s="62">
        <v>10.5</v>
      </c>
    </row>
    <row r="23" spans="1:14" ht="13.8" thickBot="1" x14ac:dyDescent="0.3">
      <c r="A23" s="13" t="s">
        <v>9</v>
      </c>
      <c r="B23" s="19">
        <f>IF(B5&lt;1,0,B18-B20)</f>
        <v>4998.580077567276</v>
      </c>
      <c r="C23" s="19">
        <f>IF(C5&lt;1,$B$23,C18-C20)</f>
        <v>8059.9108375447358</v>
      </c>
      <c r="D23" s="19">
        <f t="shared" ref="D23:G23" si="8">IF(D5&lt;1,$B$23,D18-D20)</f>
        <v>8059.9108375447358</v>
      </c>
      <c r="E23" s="19">
        <f t="shared" si="8"/>
        <v>4998.580077567276</v>
      </c>
      <c r="F23" s="19">
        <f t="shared" si="8"/>
        <v>4998.580077567276</v>
      </c>
      <c r="G23" s="19">
        <f t="shared" si="8"/>
        <v>4998.580077567276</v>
      </c>
      <c r="H23" s="13" t="s">
        <v>68</v>
      </c>
      <c r="I23" s="48">
        <v>2.5</v>
      </c>
      <c r="J23" s="10">
        <v>2.4689999999999999</v>
      </c>
      <c r="K23" s="11">
        <v>1.8200000000000001E-2</v>
      </c>
      <c r="M23" s="57">
        <v>10000</v>
      </c>
      <c r="N23" s="63">
        <v>10.1</v>
      </c>
    </row>
    <row r="24" spans="1:14" x14ac:dyDescent="0.25">
      <c r="A24" s="2" t="s">
        <v>16</v>
      </c>
      <c r="B24" s="19">
        <f>SMALL(B23:G23,1)</f>
        <v>4998.580077567276</v>
      </c>
      <c r="C24" s="19"/>
      <c r="D24" s="19"/>
      <c r="E24" s="19"/>
      <c r="F24" s="19"/>
      <c r="G24" s="19"/>
      <c r="H24" s="13" t="s">
        <v>69</v>
      </c>
      <c r="I24" s="51">
        <v>3</v>
      </c>
      <c r="J24" s="13">
        <v>3.0680000000000001</v>
      </c>
      <c r="K24" s="17">
        <v>1.7299999999999999E-2</v>
      </c>
    </row>
    <row r="25" spans="1:14" ht="13.8" thickBot="1" x14ac:dyDescent="0.3">
      <c r="I25" s="52">
        <v>4</v>
      </c>
      <c r="J25" s="15">
        <v>4.0259999999999998</v>
      </c>
      <c r="K25" s="16">
        <v>1.6299999999999999E-2</v>
      </c>
    </row>
    <row r="26" spans="1:14" x14ac:dyDescent="0.25">
      <c r="A26" s="5" t="s">
        <v>53</v>
      </c>
      <c r="C26" s="5"/>
      <c r="D26" s="5"/>
      <c r="E26" s="5"/>
      <c r="F26" s="5"/>
      <c r="G26" s="5"/>
      <c r="I26" s="48">
        <v>5</v>
      </c>
      <c r="J26" s="10">
        <v>5.0469999999999997</v>
      </c>
      <c r="K26" s="11">
        <v>1.55E-2</v>
      </c>
    </row>
    <row r="27" spans="1:14" ht="13.8" thickBot="1" x14ac:dyDescent="0.3">
      <c r="A27" s="13" t="s">
        <v>51</v>
      </c>
      <c r="B27" s="45">
        <v>30</v>
      </c>
      <c r="C27" s="13" t="s">
        <v>52</v>
      </c>
      <c r="D27" s="13"/>
      <c r="E27" s="13"/>
      <c r="F27" s="13"/>
      <c r="G27" s="13"/>
      <c r="H27" s="28"/>
      <c r="I27" s="52">
        <v>6</v>
      </c>
      <c r="J27" s="20">
        <v>6.0650000000000004</v>
      </c>
      <c r="K27" s="16">
        <v>1.49E-2</v>
      </c>
    </row>
    <row r="28" spans="1:14" x14ac:dyDescent="0.25">
      <c r="A28" s="13" t="s">
        <v>62</v>
      </c>
      <c r="B28" s="45">
        <v>3</v>
      </c>
      <c r="C28" s="13" t="s">
        <v>54</v>
      </c>
      <c r="D28" s="13"/>
      <c r="E28" s="13"/>
      <c r="F28" s="13"/>
      <c r="G28" s="13"/>
      <c r="H28" s="24"/>
      <c r="I28" s="54">
        <v>8</v>
      </c>
      <c r="J28" s="3">
        <v>7.9809999999999999</v>
      </c>
      <c r="K28" s="21">
        <v>1.41E-2</v>
      </c>
    </row>
    <row r="29" spans="1:14" x14ac:dyDescent="0.25">
      <c r="A29" s="13" t="s">
        <v>63</v>
      </c>
      <c r="B29" s="18">
        <f>LOOKUP(B28,$I17:$I31,$J17:$J31)</f>
        <v>3.0680000000000001</v>
      </c>
      <c r="C29" s="13" t="s">
        <v>43</v>
      </c>
      <c r="D29" s="6"/>
      <c r="E29" s="6"/>
      <c r="F29" s="6"/>
      <c r="G29" s="6"/>
      <c r="I29" s="54">
        <v>10</v>
      </c>
      <c r="J29" s="3">
        <v>10.02</v>
      </c>
      <c r="K29" s="21">
        <v>1.35E-2</v>
      </c>
    </row>
    <row r="30" spans="1:14" x14ac:dyDescent="0.25">
      <c r="A30" s="13" t="s">
        <v>73</v>
      </c>
      <c r="B30" s="12">
        <f>SUM(B7:G7)</f>
        <v>174</v>
      </c>
      <c r="D30" s="6"/>
      <c r="E30" s="6"/>
      <c r="F30" s="6"/>
      <c r="G30" s="6"/>
      <c r="I30" s="54">
        <v>12</v>
      </c>
      <c r="J30" s="3">
        <v>11.938000000000001</v>
      </c>
      <c r="K30" s="21">
        <v>1.3100000000000001E-2</v>
      </c>
    </row>
    <row r="31" spans="1:14" ht="13.8" thickBot="1" x14ac:dyDescent="0.3">
      <c r="A31" s="13" t="s">
        <v>8</v>
      </c>
      <c r="B31" s="19">
        <f>B27*(B30)^2/B29^5</f>
        <v>3341.5116137878372</v>
      </c>
      <c r="C31" s="13" t="s">
        <v>72</v>
      </c>
      <c r="D31" s="6"/>
      <c r="E31" s="6"/>
      <c r="F31" s="6"/>
      <c r="G31" s="6"/>
      <c r="I31" s="55">
        <v>14</v>
      </c>
      <c r="J31" s="26">
        <v>13.124000000000001</v>
      </c>
      <c r="K31" s="27">
        <v>1.3299999999999999E-2</v>
      </c>
    </row>
    <row r="32" spans="1:14" x14ac:dyDescent="0.25">
      <c r="A32" s="22" t="s">
        <v>21</v>
      </c>
      <c r="B32" s="23" t="str">
        <f>IF(B31&lt;B24,"OK","Too small")</f>
        <v>OK</v>
      </c>
      <c r="C32" s="13" t="s">
        <v>82</v>
      </c>
      <c r="D32" s="6"/>
      <c r="E32" s="6"/>
      <c r="F32" s="6"/>
      <c r="G32" s="6"/>
    </row>
    <row r="33" spans="1:7" x14ac:dyDescent="0.25">
      <c r="A33" s="5"/>
      <c r="C33" s="24"/>
      <c r="D33" s="24"/>
      <c r="E33" s="24"/>
      <c r="F33" s="24"/>
      <c r="G33" s="24"/>
    </row>
    <row r="34" spans="1:7" x14ac:dyDescent="0.25">
      <c r="B34" s="30"/>
      <c r="C34" s="31"/>
      <c r="D34" s="31"/>
      <c r="E34" s="31"/>
      <c r="F34" s="31"/>
      <c r="G34" s="31"/>
    </row>
    <row r="35" spans="1:7" x14ac:dyDescent="0.25">
      <c r="B35" s="30"/>
      <c r="C35" s="31"/>
      <c r="D35" s="31"/>
      <c r="E35" s="31"/>
      <c r="F35" s="31"/>
      <c r="G35" s="31"/>
    </row>
    <row r="36" spans="1:7" x14ac:dyDescent="0.25">
      <c r="D36" s="5"/>
      <c r="E36" s="5"/>
      <c r="F36" s="5"/>
      <c r="G36" s="5"/>
    </row>
  </sheetData>
  <phoneticPr fontId="12" type="noConversion"/>
  <dataValidations count="1">
    <dataValidation type="list" showInputMessage="1" showErrorMessage="1" errorTitle="Invalid Entry" error="Enter a value from the NPS list in Table 1." sqref="B28 B15:G15" xr:uid="{00000000-0002-0000-0200-000000000000}">
      <formula1>$I$17:$I$31</formula1>
    </dataValidation>
  </dataValidations>
  <pageMargins left="0.75" right="0.75" top="0.5" bottom="0.5" header="0.5" footer="0.5"/>
  <pageSetup orientation="landscape" horizontalDpi="1200" verticalDpi="12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Single Relief Device</vt:lpstr>
      <vt:lpstr>Headered identical reliefs</vt:lpstr>
      <vt:lpstr>Headered different reliefs</vt:lpstr>
      <vt:lpstr>'Headered different reliefs'!Print_Area</vt:lpstr>
      <vt:lpstr>'Headered identical reliefs'!Print_Area</vt:lpstr>
      <vt:lpstr>'Single Relief Device'!Print_Area</vt:lpstr>
    </vt:vector>
  </TitlesOfParts>
  <Company>The Trane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Dave Guckelberger</dc:creator>
  <cp:lastModifiedBy>Murphy, John</cp:lastModifiedBy>
  <cp:lastPrinted>2020-09-05T05:00:42Z</cp:lastPrinted>
  <dcterms:created xsi:type="dcterms:W3CDTF">2002-06-26T18:47:28Z</dcterms:created>
  <dcterms:modified xsi:type="dcterms:W3CDTF">2024-11-21T17:54:55Z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07e308cf-0c08-4843-90d1-31d19a6e7663</vt:lpwstr>
  </property>
  <property fmtid="{D5CDD505-2E9C-101B-9397-08002B2CF9AE}" pid="3" name="CLASSIFICATION">
    <vt:lpwstr>IR-DC-3</vt:lpwstr>
  </property>
  <property fmtid="{D5CDD505-2E9C-101B-9397-08002B2CF9AE}" pid="4" name="MSIP_Label_162b2348-a379-47d7-bf25-1402d7b08038_Enabled">
    <vt:lpwstr>true</vt:lpwstr>
  </property>
  <property fmtid="{D5CDD505-2E9C-101B-9397-08002B2CF9AE}" pid="5" name="MSIP_Label_162b2348-a379-47d7-bf25-1402d7b08038_SetDate">
    <vt:lpwstr>2024-11-21T17:31:33Z</vt:lpwstr>
  </property>
  <property fmtid="{D5CDD505-2E9C-101B-9397-08002B2CF9AE}" pid="6" name="MSIP_Label_162b2348-a379-47d7-bf25-1402d7b08038_Method">
    <vt:lpwstr>Standard</vt:lpwstr>
  </property>
  <property fmtid="{D5CDD505-2E9C-101B-9397-08002B2CF9AE}" pid="7" name="MSIP_Label_162b2348-a379-47d7-bf25-1402d7b08038_Name">
    <vt:lpwstr>Business</vt:lpwstr>
  </property>
  <property fmtid="{D5CDD505-2E9C-101B-9397-08002B2CF9AE}" pid="8" name="MSIP_Label_162b2348-a379-47d7-bf25-1402d7b08038_SiteId">
    <vt:lpwstr>abf9983b-ca77-4f20-9633-ca9c5a847041</vt:lpwstr>
  </property>
  <property fmtid="{D5CDD505-2E9C-101B-9397-08002B2CF9AE}" pid="9" name="MSIP_Label_162b2348-a379-47d7-bf25-1402d7b08038_ActionId">
    <vt:lpwstr>55855264-601f-4f91-83b2-b2a258b6c66c</vt:lpwstr>
  </property>
  <property fmtid="{D5CDD505-2E9C-101B-9397-08002B2CF9AE}" pid="10" name="MSIP_Label_162b2348-a379-47d7-bf25-1402d7b08038_ContentBits">
    <vt:lpwstr>0</vt:lpwstr>
  </property>
</Properties>
</file>