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https://tranetechnologies-my.sharepoint.com/personal/jmurphy_trane_com/Documents/Documents/Applications/Support/Industry Standards and Codes/ASHRAE Standard 15 and 34/Vent line sizing/"/>
    </mc:Choice>
  </mc:AlternateContent>
  <xr:revisionPtr revIDLastSave="6" documentId="13_ncr:1_{8CEB8CEB-2D34-4C7F-B7B1-0370A7DD2D9D}" xr6:coauthVersionLast="47" xr6:coauthVersionMax="47" xr10:uidLastSave="{BA268720-2E88-4E13-AAEB-BDD15162C0F4}"/>
  <bookViews>
    <workbookView xWindow="-108" yWindow="-108" windowWidth="23256" windowHeight="12456" tabRatio="675" xr2:uid="{00000000-000D-0000-FFFF-FFFF00000000}"/>
  </bookViews>
  <sheets>
    <sheet name="Single Relief Device" sheetId="1" r:id="rId1"/>
    <sheet name="Headered identical reliefs" sheetId="2" r:id="rId2"/>
    <sheet name="Headered different reliefs" sheetId="4" r:id="rId3"/>
  </sheets>
  <definedNames>
    <definedName name="_xlnm.Print_Area" localSheetId="2">'Headered different reliefs'!$A$1:$G$32</definedName>
    <definedName name="_xlnm.Print_Area" localSheetId="1">'Headered identical reliefs'!$A$1:$B$31</definedName>
    <definedName name="_xlnm.Print_Area" localSheetId="0">'Single Relief Device'!$A$1:$B$19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4" l="1"/>
  <c r="F18" i="4"/>
  <c r="G18" i="4"/>
  <c r="B29" i="4" l="1"/>
  <c r="B29" i="2"/>
  <c r="B17" i="2"/>
  <c r="B16" i="2"/>
  <c r="B16" i="1"/>
  <c r="B15" i="1"/>
  <c r="B16" i="4"/>
  <c r="B20" i="4" s="1"/>
  <c r="C16" i="4"/>
  <c r="C20" i="4" s="1"/>
  <c r="D16" i="4"/>
  <c r="D20" i="4" s="1"/>
  <c r="E16" i="4"/>
  <c r="E20" i="4" s="1"/>
  <c r="F16" i="4"/>
  <c r="F20" i="4" s="1"/>
  <c r="G16" i="4"/>
  <c r="G20" i="4"/>
  <c r="G17" i="4"/>
  <c r="F17" i="4"/>
  <c r="E17" i="4"/>
  <c r="D17" i="4"/>
  <c r="D18" i="4" s="1"/>
  <c r="D23" i="4" s="1"/>
  <c r="C17" i="4"/>
  <c r="C18" i="4" s="1"/>
  <c r="C23" i="4" s="1"/>
  <c r="B17" i="4"/>
  <c r="B18" i="4" s="1"/>
  <c r="B30" i="4"/>
  <c r="G12" i="4"/>
  <c r="G11" i="4"/>
  <c r="G10" i="4"/>
  <c r="F12" i="4"/>
  <c r="F11" i="4"/>
  <c r="F10" i="4"/>
  <c r="E12" i="4"/>
  <c r="E11" i="4"/>
  <c r="E10" i="4"/>
  <c r="D12" i="4"/>
  <c r="D11" i="4"/>
  <c r="D10" i="4"/>
  <c r="C12" i="4"/>
  <c r="C11" i="4"/>
  <c r="C10" i="4"/>
  <c r="B12" i="4"/>
  <c r="B11" i="4"/>
  <c r="B10" i="4"/>
  <c r="C14" i="2"/>
  <c r="B12" i="2"/>
  <c r="B11" i="2"/>
  <c r="B10" i="2"/>
  <c r="B11" i="1"/>
  <c r="B10" i="1"/>
  <c r="C12" i="1"/>
  <c r="B9" i="1"/>
  <c r="G21" i="4" l="1"/>
  <c r="C21" i="4"/>
  <c r="B30" i="2"/>
  <c r="D21" i="4"/>
  <c r="B21" i="4"/>
  <c r="B18" i="1"/>
  <c r="B31" i="4"/>
  <c r="F21" i="4"/>
  <c r="E21" i="4"/>
  <c r="B18" i="2"/>
  <c r="B20" i="2"/>
  <c r="B21" i="2" l="1"/>
  <c r="B23" i="4"/>
  <c r="B23" i="2"/>
  <c r="F23" i="4" l="1"/>
  <c r="G23" i="4"/>
  <c r="B24" i="4" s="1"/>
  <c r="E23" i="4"/>
  <c r="B31" i="2"/>
  <c r="B3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Murphy, John</author>
    <author>John Murphy</author>
    <author>The Galactic Emperor</author>
  </authors>
  <commentList>
    <comment ref="C5" authorId="0" shapeId="0" xr:uid="{CF08D1BB-E850-4A1D-ABDC-A11A0DD1016C}">
      <text>
        <r>
          <rPr>
            <sz val="9"/>
            <color indexed="81"/>
            <rFont val="Tahoma"/>
            <charset val="1"/>
          </rPr>
          <t>see Table 9-7
ASHRAE Standard 15-2022
(reproduced at right)</t>
        </r>
      </text>
    </comment>
    <comment ref="C8" authorId="0" shapeId="0" xr:uid="{9F527685-884E-459E-AED5-24C8300F5A58}">
      <text>
        <r>
          <rPr>
            <sz val="9"/>
            <color indexed="81"/>
            <rFont val="Tahoma"/>
            <charset val="1"/>
          </rPr>
          <t>per Section 9.7.9.3.2, ASHRAE Standard 15-2022</t>
        </r>
      </text>
    </comment>
    <comment ref="G15" authorId="1" shapeId="0" xr:uid="{00000000-0006-0000-0000-000001000000}">
      <text>
        <r>
          <rPr>
            <sz val="8"/>
            <color indexed="81"/>
            <rFont val="Tahoma"/>
            <family val="2"/>
          </rPr>
          <t>Typical Moody friction factor for fully-turbulent flow</t>
        </r>
      </text>
    </comment>
    <comment ref="G27" authorId="2" shapeId="0" xr:uid="{00000000-0006-0000-0000-000002000000}">
      <text>
        <r>
          <rPr>
            <sz val="8"/>
            <color indexed="81"/>
            <rFont val="Tahoma"/>
            <family val="2"/>
          </rPr>
          <t>Data for 0.5- through 6-inch pipe is from Appendix D in ASHRAE Standard 15-2022. Data for 8- through 14-inch pipe is from Crane Technical Paper No. 410.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Murphy, John</author>
    <author>John Murphy</author>
    <author>The Galactic Emperor</author>
  </authors>
  <commentList>
    <comment ref="C6" authorId="0" shapeId="0" xr:uid="{086676D5-A104-400C-BE4E-0AB086D8C9F2}">
      <text>
        <r>
          <rPr>
            <sz val="9"/>
            <color indexed="81"/>
            <rFont val="Tahoma"/>
            <charset val="1"/>
          </rPr>
          <t>see Table 9-7
ASHRAE Standard 15-2022
(reproduced at right)</t>
        </r>
      </text>
    </comment>
    <comment ref="C9" authorId="0" shapeId="0" xr:uid="{2ECE9C12-CC54-4F4F-9F9C-E0E2C3FDC125}">
      <text>
        <r>
          <rPr>
            <sz val="9"/>
            <color indexed="81"/>
            <rFont val="Tahoma"/>
            <charset val="1"/>
          </rPr>
          <t>per Section 9.7.9.3.2, ASHRAE Standard 15-2022</t>
        </r>
      </text>
    </comment>
    <comment ref="G16" authorId="1" shapeId="0" xr:uid="{00000000-0006-0000-0100-000001000000}">
      <text>
        <r>
          <rPr>
            <sz val="8"/>
            <color indexed="81"/>
            <rFont val="Tahoma"/>
            <family val="2"/>
          </rPr>
          <t>Typical Moody friction factor for fully-turbulent flow</t>
        </r>
      </text>
    </comment>
    <comment ref="B18" authorId="1" shapeId="0" xr:uid="{00000000-0006-0000-0100-000002000000}">
      <text>
        <r>
          <rPr>
            <sz val="8"/>
            <color indexed="81"/>
            <rFont val="Tahoma"/>
            <family val="2"/>
          </rPr>
          <t>Right-hand side of Equation 20 from the ASHRAE Standard 15-2001 User's Manual (p. 70)…see example H4</t>
        </r>
      </text>
    </comment>
    <comment ref="B20" authorId="1" shapeId="0" xr:uid="{00000000-0006-0000-0100-000003000000}">
      <text>
        <r>
          <rPr>
            <sz val="8"/>
            <color indexed="81"/>
            <rFont val="Tahoma"/>
            <family val="2"/>
          </rPr>
          <t>Left-hand side of Equation 20 from the ASHRAE Standard 15-2001 User's Manual (p. 70)…see example H4</t>
        </r>
      </text>
    </comment>
    <comment ref="G28" authorId="2" shapeId="0" xr:uid="{00000000-0006-0000-0100-000004000000}">
      <text>
        <r>
          <rPr>
            <sz val="8"/>
            <color indexed="81"/>
            <rFont val="Tahoma"/>
            <family val="2"/>
          </rPr>
          <t>Data for 0.5- through 6-inch pipe is from Appendix D in ASHRAE Standard 15-2022. Data for 8- through 14-inch pipe is from Crane Technical Paper No. 410.</t>
        </r>
      </text>
    </comment>
    <comment ref="B30" authorId="1" shapeId="0" xr:uid="{00000000-0006-0000-0100-000005000000}">
      <text>
        <r>
          <rPr>
            <sz val="8"/>
            <color indexed="81"/>
            <rFont val="Tahoma"/>
            <family val="2"/>
          </rPr>
          <t>Left-hand side of Equation 20 from the ASHRAE Standard 15-2001 User's Manual (p. 70)…see example H4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Murphy, John</author>
    <author>John Murphy</author>
    <author>The Galactic Emperor</author>
  </authors>
  <commentList>
    <comment ref="H6" authorId="0" shapeId="0" xr:uid="{59B66065-6E68-4ACC-B834-0628BAFD5DC3}">
      <text>
        <r>
          <rPr>
            <sz val="9"/>
            <color indexed="81"/>
            <rFont val="Tahoma"/>
            <charset val="1"/>
          </rPr>
          <t>see Table 9-7
ASHRAE Standard 15-2022
(reproduced at right)</t>
        </r>
      </text>
    </comment>
    <comment ref="H9" authorId="0" shapeId="0" xr:uid="{87E519B0-8D32-433C-AB67-6166CB11BE52}">
      <text>
        <r>
          <rPr>
            <sz val="9"/>
            <color indexed="81"/>
            <rFont val="Tahoma"/>
            <charset val="1"/>
          </rPr>
          <t>per Section 9.7.9.3.2, ASHRAE Standard 15-2022</t>
        </r>
      </text>
    </comment>
    <comment ref="K16" authorId="1" shapeId="0" xr:uid="{00000000-0006-0000-0200-000001000000}">
      <text>
        <r>
          <rPr>
            <sz val="8"/>
            <color indexed="81"/>
            <rFont val="Tahoma"/>
            <family val="2"/>
          </rPr>
          <t>Typical Moody friction factor for fully-turbulent flow</t>
        </r>
      </text>
    </comment>
    <comment ref="A18" authorId="1" shapeId="0" xr:uid="{00000000-0006-0000-0200-000002000000}">
      <text>
        <r>
          <rPr>
            <sz val="8"/>
            <color indexed="81"/>
            <rFont val="Tahoma"/>
            <family val="2"/>
          </rPr>
          <t>Right-hand side of Equation 20 from the ASHRAE Standard 15-2001 User's Manual (p. 70)…see example H5</t>
        </r>
      </text>
    </comment>
    <comment ref="A20" authorId="1" shapeId="0" xr:uid="{00000000-0006-0000-0200-000003000000}">
      <text>
        <r>
          <rPr>
            <sz val="8"/>
            <color indexed="81"/>
            <rFont val="Tahoma"/>
            <family val="2"/>
          </rPr>
          <t>Left-hand side of Equation 20 from the ASHRAE Standard 15-2001 User's Manual (p. 70)…see example H5</t>
        </r>
      </text>
    </comment>
    <comment ref="K28" authorId="2" shapeId="0" xr:uid="{00000000-0006-0000-0200-000004000000}">
      <text>
        <r>
          <rPr>
            <sz val="8"/>
            <color indexed="81"/>
            <rFont val="Tahoma"/>
            <family val="2"/>
          </rPr>
          <t>Data for 0.5- through 6-inch pipe is from Appendix D in ASHRAE Standard 15-2022. Data for 8- through 14-inch pipe is from Crane Technical Paper No. 410.</t>
        </r>
      </text>
    </comment>
    <comment ref="A31" authorId="1" shapeId="0" xr:uid="{00000000-0006-0000-0200-000005000000}">
      <text>
        <r>
          <rPr>
            <sz val="8"/>
            <color indexed="81"/>
            <rFont val="Tahoma"/>
            <family val="2"/>
          </rPr>
          <t>Left-hand side of Equation 20 from the ASHRAE Standard 15-2001 User's Manual (p. 70)…see example H5</t>
        </r>
      </text>
    </comment>
  </commentList>
</comments>
</file>

<file path=xl/sharedStrings.xml><?xml version="1.0" encoding="utf-8"?>
<sst xmlns="http://schemas.openxmlformats.org/spreadsheetml/2006/main" count="162" uniqueCount="86">
  <si>
    <t>f</t>
  </si>
  <si>
    <t>Relief device description</t>
  </si>
  <si>
    <t>For a single relief device:</t>
  </si>
  <si>
    <t xml:space="preserve">  Inside diameter of pipe, d (in.)</t>
  </si>
  <si>
    <t xml:space="preserve">  Moody friction factor for pipe, f</t>
  </si>
  <si>
    <t xml:space="preserve">    Moody friction factor for pipe, f</t>
  </si>
  <si>
    <r>
      <t>Relief device description</t>
    </r>
    <r>
      <rPr>
        <b/>
        <sz val="10"/>
        <color indexed="10"/>
        <rFont val="Arial"/>
        <family val="2"/>
      </rPr>
      <t>*</t>
    </r>
  </si>
  <si>
    <t xml:space="preserve">  "Resource" available</t>
  </si>
  <si>
    <t xml:space="preserve">  "Resource" required</t>
  </si>
  <si>
    <t xml:space="preserve">  "Resource" remaining</t>
  </si>
  <si>
    <t>Device 1</t>
  </si>
  <si>
    <t>Device 2</t>
  </si>
  <si>
    <t>Device 3</t>
  </si>
  <si>
    <t>Device 4</t>
  </si>
  <si>
    <t>Device 5</t>
  </si>
  <si>
    <t>Device 6</t>
  </si>
  <si>
    <t xml:space="preserve">  Critical "resource" remaining</t>
  </si>
  <si>
    <t>required entries are highlighted</t>
  </si>
  <si>
    <t xml:space="preserve">    Inside diameter of feeder pipe, d (in.)</t>
  </si>
  <si>
    <t>Diameter of feeder pipe is:</t>
  </si>
  <si>
    <t>connected to a common header:</t>
  </si>
  <si>
    <t>Diameter of header pipe is:</t>
  </si>
  <si>
    <t>connected to a common header</t>
  </si>
  <si>
    <r>
      <t xml:space="preserve">For </t>
    </r>
    <r>
      <rPr>
        <b/>
        <i/>
        <sz val="12"/>
        <rFont val="Arial"/>
        <family val="2"/>
      </rPr>
      <t>different</t>
    </r>
    <r>
      <rPr>
        <b/>
        <sz val="12"/>
        <rFont val="Arial"/>
        <family val="2"/>
      </rPr>
      <t xml:space="preserve"> relief devices</t>
    </r>
  </si>
  <si>
    <r>
      <t xml:space="preserve">For </t>
    </r>
    <r>
      <rPr>
        <b/>
        <i/>
        <sz val="12"/>
        <rFont val="Arial"/>
        <family val="2"/>
      </rPr>
      <t>identical</t>
    </r>
    <r>
      <rPr>
        <b/>
        <sz val="12"/>
        <rFont val="Arial"/>
        <family val="2"/>
      </rPr>
      <t xml:space="preserve"> relief devices</t>
    </r>
  </si>
  <si>
    <t xml:space="preserve">  Set pressure, P (psig)</t>
  </si>
  <si>
    <t>Relief device is designed to open at this pressure</t>
  </si>
  <si>
    <t xml:space="preserve">  Discharge capacity, Cr (lb/min)</t>
  </si>
  <si>
    <t>Refrigerant discharge capacity, as stamped on device or calculated by manufacturer</t>
  </si>
  <si>
    <t xml:space="preserve">  Relief device outlet diameter (in.)</t>
  </si>
  <si>
    <t>Inside diameter of relief device outlet</t>
  </si>
  <si>
    <t>As specified by manufacturer, or selected from following calculations:</t>
  </si>
  <si>
    <t xml:space="preserve">   for a balanced relief valve (0.25 x P + atmospheric pressure)</t>
  </si>
  <si>
    <t xml:space="preserve">  Allowed back pressure at device outlet, P0 (psia)</t>
  </si>
  <si>
    <t>Discharge pipe</t>
  </si>
  <si>
    <t xml:space="preserve">  Nominal pipe size (NPS)</t>
  </si>
  <si>
    <t>ID (d), in.</t>
  </si>
  <si>
    <t>NPS, in.</t>
  </si>
  <si>
    <t>Maximum allowable equivalent length of discharge pipe for the entered NPS</t>
  </si>
  <si>
    <t xml:space="preserve">  Absolute pressure at discharge, P2 (psia)</t>
  </si>
  <si>
    <t>Feeder pipe from relief device outlet to header</t>
  </si>
  <si>
    <t xml:space="preserve">  Nominal pipe size (NPS) of feeder pipe</t>
  </si>
  <si>
    <t>Value d from table at right for selected NPS (fills in automatically)</t>
  </si>
  <si>
    <t>Value f from table at right for selected NPS (fills in automatically)</t>
  </si>
  <si>
    <t>"Resource" available to be used in both feeder and common header pipes</t>
  </si>
  <si>
    <t>Enter equivalent length of feeder pipe from the relief device outlet to common header</t>
  </si>
  <si>
    <t>"Resource" available to be used in common header pipe</t>
  </si>
  <si>
    <t xml:space="preserve">  Length of feeder pipe, L (ft.)</t>
  </si>
  <si>
    <t xml:space="preserve">  # of equal relief devices feeding common header</t>
  </si>
  <si>
    <t>Relief devices must be same type, with same Cr, P, and device outlet diameter</t>
  </si>
  <si>
    <t xml:space="preserve">  Length of header pipe, L (ft.)</t>
  </si>
  <si>
    <t>Enter equivalent length of header pipe leading to discharge outside</t>
  </si>
  <si>
    <t>Common header pipe from feeders to outside</t>
  </si>
  <si>
    <t>Pick NPS from dropdown list</t>
  </si>
  <si>
    <t>Feeder 1</t>
  </si>
  <si>
    <t>Feeder 2</t>
  </si>
  <si>
    <t>Feeder 3</t>
  </si>
  <si>
    <t>Feeder 4</t>
  </si>
  <si>
    <t>Feeder 5</t>
  </si>
  <si>
    <t>Feeder 6</t>
  </si>
  <si>
    <t>Enter equivalent length of feeder pipe from relief device outlet to common header</t>
  </si>
  <si>
    <t xml:space="preserve">  Nominal pipe size (NPS) of header pipe</t>
  </si>
  <si>
    <t xml:space="preserve">    Inside diameter of header pipe, d (in.)</t>
  </si>
  <si>
    <t>* Entries in rows 5, 7, and 15 must be left blank for unused columns</t>
  </si>
  <si>
    <t>* All relief devices must have the same Cr, P, and device outlet diameter</t>
  </si>
  <si>
    <t>Allowable equivalent length of pipe, L (ft.)</t>
  </si>
  <si>
    <t>"Resource" remaining to be used in common header pipe</t>
  </si>
  <si>
    <t>Lowest "resource" remaining from individual feeder pipes calculations</t>
  </si>
  <si>
    <t>"Resource" required in the feeder pipe</t>
  </si>
  <si>
    <t>"Resource" required in the header pipe</t>
  </si>
  <si>
    <t xml:space="preserve">  Sum of Cr for all relief devices (lb/min)</t>
  </si>
  <si>
    <r>
      <t>Explanation</t>
    </r>
    <r>
      <rPr>
        <sz val="10"/>
        <rFont val="Arial"/>
        <family val="2"/>
      </rPr>
      <t xml:space="preserve"> (see Trane application manual APP-APM001*-EN)</t>
    </r>
  </si>
  <si>
    <t>(per Section 9.7.9.3.1, ASHRAE Standard 15-2022)</t>
  </si>
  <si>
    <t>Table D-1, ASHRAE 15-2022</t>
  </si>
  <si>
    <t>Trane believes the facts and suggestions presented here to be accurate. However, final design and application decisions are your responsibility. Trane disclaims any responsibility for actions taken on the material presented.</t>
  </si>
  <si>
    <t>Absolute (atmospheric) pressure (Pa) at outlet of discharge piping (sea level = 14.7 psia)</t>
  </si>
  <si>
    <t>Pa, psia</t>
  </si>
  <si>
    <t>Elevation, ft.</t>
  </si>
  <si>
    <r>
      <t xml:space="preserve">Pick NPS from dropdown list </t>
    </r>
    <r>
      <rPr>
        <sz val="10"/>
        <color rgb="FFFF0000"/>
        <rFont val="Arial"/>
        <family val="2"/>
      </rPr>
      <t>(must be &gt;= Relief device outlet diameter, Row 7)</t>
    </r>
  </si>
  <si>
    <t xml:space="preserve">   for a rupture disk alone, fusible plug, or pilot-operated valve (0.50 x P + atmospheric pressure)</t>
  </si>
  <si>
    <t>Table 9-7, ASHRAE 15-2022</t>
  </si>
  <si>
    <t xml:space="preserve">   for a conventional relief valve (0.15 x P + atmospheric pressure), including RuptureGuard</t>
  </si>
  <si>
    <t>"Resource" required in the feeder pipe (Row 20) must be &lt; "Resource" available (Row 18)</t>
  </si>
  <si>
    <t>"Resource" required in the header pipe (Row 31) must be &lt; Critical "resource" remaining (Row 24)</t>
  </si>
  <si>
    <r>
      <t xml:space="preserve">Pick NPS from dropdown list </t>
    </r>
    <r>
      <rPr>
        <sz val="10"/>
        <color rgb="FFFF0000"/>
        <rFont val="Arial"/>
        <family val="2"/>
      </rPr>
      <t>(must be &gt;= Relief device outlet diameter, Row 8)</t>
    </r>
  </si>
  <si>
    <t>"Resource" required in the header pipe (Row 30) must be &lt; "Resource" remaining (Row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</si>
</sst>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7" x14ac:knownFonts="1">
    <font>
      <sz val="10"/>
      <name val="Arial"/>
    </font>
    <font>
      <b/>
      <sz val="10"/>
      <name val="Arial"/>
      <family val="2"/>
    </font>
    <font>
      <b/>
      <sz val="10"/>
      <color indexed="10"/>
      <name val="Arial"/>
      <family val="2"/>
    </font>
    <font>
      <sz val="10"/>
      <color indexed="10"/>
      <name val="Arial"/>
      <family val="2"/>
    </font>
    <font>
      <sz val="10"/>
      <name val="Arial"/>
      <family val="2"/>
    </font>
    <font>
      <sz val="10"/>
      <color indexed="12"/>
      <name val="Arial"/>
      <family val="2"/>
    </font>
    <font>
      <b/>
      <sz val="10"/>
      <color indexed="8"/>
      <name val="Arial"/>
      <family val="2"/>
    </font>
    <font>
      <sz val="10"/>
      <color indexed="8"/>
      <name val="Arial"/>
      <family val="2"/>
    </font>
    <font>
      <sz val="10"/>
      <color indexed="17"/>
      <name val="Arial"/>
      <family val="2"/>
    </font>
    <font>
      <b/>
      <sz val="12"/>
      <name val="Arial"/>
      <family val="2"/>
    </font>
    <font>
      <sz val="8"/>
      <color indexed="81"/>
      <name val="Tahoma"/>
      <family val="2"/>
    </font>
    <font>
      <b/>
      <i/>
      <sz val="12"/>
      <name val="Arial"/>
      <family val="2"/>
    </font>
    <font>
      <sz val="8"/>
      <name val="Arial"/>
      <family val="2"/>
    </font>
    <font>
      <sz val="10"/>
      <color indexed="10"/>
      <name val="Arial"/>
      <family val="2"/>
    </font>
    <font>
      <sz val="10"/>
      <color rgb="FFFF0000"/>
      <name val="Arial"/>
      <family val="2"/>
    </font>
    <font>
      <sz val="9"/>
      <color indexed="81"/>
      <name val="Tahoma"/>
      <charset val="1"/>
    </font>
    <font>
      <i/>
      <sz val="8"/>
      <name val="Arial"/>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9" fillId="0" borderId="0" xfId="0" applyFont="1" applyAlignment="1">
      <alignment vertical="center"/>
    </xf>
    <xf numFmtId="0" fontId="0" fillId="0" borderId="0" xfId="0" applyAlignment="1">
      <alignment vertical="center"/>
    </xf>
    <xf numFmtId="0" fontId="0" fillId="2" borderId="0" xfId="0" applyFill="1" applyAlignment="1">
      <alignment vertical="center"/>
    </xf>
    <xf numFmtId="0" fontId="3"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7" xfId="0" applyBorder="1" applyAlignment="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5" fillId="0" borderId="0" xfId="0" applyFont="1" applyAlignment="1">
      <alignment horizontal="right" vertical="center"/>
    </xf>
    <xf numFmtId="0" fontId="4" fillId="0" borderId="0" xfId="0" applyFont="1" applyAlignment="1">
      <alignment vertical="center"/>
    </xf>
    <xf numFmtId="166" fontId="4" fillId="0" borderId="5" xfId="0" applyNumberFormat="1"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8" fillId="0" borderId="0" xfId="0" applyFont="1" applyAlignment="1">
      <alignment horizontal="right" vertical="center"/>
    </xf>
    <xf numFmtId="1" fontId="5" fillId="0" borderId="0" xfId="0" applyNumberFormat="1" applyFont="1" applyAlignment="1">
      <alignment horizontal="right" vertical="center"/>
    </xf>
    <xf numFmtId="165" fontId="4" fillId="0" borderId="7" xfId="0" applyNumberFormat="1" applyFont="1" applyBorder="1" applyAlignment="1">
      <alignment vertical="center"/>
    </xf>
    <xf numFmtId="0" fontId="0" fillId="2" borderId="5" xfId="0" applyFill="1" applyBorder="1" applyAlignme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1" fontId="5" fillId="0" borderId="0" xfId="0" applyNumberFormat="1" applyFont="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0" borderId="0" xfId="0" applyAlignment="1">
      <alignment horizontal="right" vertical="center"/>
    </xf>
    <xf numFmtId="0" fontId="3" fillId="0" borderId="0" xfId="0" applyFont="1" applyAlignment="1">
      <alignment horizontal="left" vertical="center"/>
    </xf>
    <xf numFmtId="2" fontId="7" fillId="0" borderId="0" xfId="0" applyNumberFormat="1" applyFont="1" applyAlignment="1">
      <alignment horizontal="center" vertical="center"/>
    </xf>
    <xf numFmtId="0" fontId="6" fillId="0" borderId="0" xfId="0" applyFont="1" applyAlignment="1">
      <alignment vertical="center"/>
    </xf>
    <xf numFmtId="0" fontId="0" fillId="0" borderId="2" xfId="0" applyBorder="1" applyAlignment="1">
      <alignment vertical="center"/>
    </xf>
    <xf numFmtId="0" fontId="0" fillId="0" borderId="8" xfId="0" applyBorder="1" applyAlignment="1">
      <alignment vertical="center"/>
    </xf>
    <xf numFmtId="0" fontId="3" fillId="0" borderId="0" xfId="0" applyFont="1" applyAlignment="1">
      <alignment vertical="center" wrapText="1"/>
    </xf>
    <xf numFmtId="0" fontId="2" fillId="0" borderId="0" xfId="0" applyFont="1" applyAlignment="1">
      <alignment horizontal="right" vertical="center"/>
    </xf>
    <xf numFmtId="0" fontId="13"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0" fillId="0" borderId="3" xfId="0" applyBorder="1" applyAlignment="1">
      <alignment vertical="center"/>
    </xf>
    <xf numFmtId="0" fontId="0" fillId="0" borderId="5" xfId="0" applyBorder="1" applyAlignment="1">
      <alignment vertical="center"/>
    </xf>
    <xf numFmtId="166" fontId="0" fillId="0" borderId="5" xfId="0" applyNumberFormat="1" applyBorder="1" applyAlignment="1">
      <alignment vertical="center"/>
    </xf>
    <xf numFmtId="164" fontId="2" fillId="0" borderId="0" xfId="0" applyNumberFormat="1" applyFont="1" applyAlignment="1">
      <alignment vertical="center"/>
    </xf>
    <xf numFmtId="2" fontId="3" fillId="0" borderId="0" xfId="0" applyNumberFormat="1" applyFont="1" applyAlignment="1">
      <alignment vertical="center"/>
    </xf>
    <xf numFmtId="165" fontId="0" fillId="0" borderId="7" xfId="0" applyNumberFormat="1" applyBorder="1" applyAlignment="1">
      <alignment vertical="center"/>
    </xf>
    <xf numFmtId="0" fontId="1" fillId="2" borderId="0" xfId="0" applyFont="1" applyFill="1" applyAlignment="1">
      <alignment vertical="center"/>
    </xf>
    <xf numFmtId="0" fontId="6" fillId="2" borderId="0" xfId="0" applyFont="1" applyFill="1" applyAlignment="1">
      <alignment horizontal="righ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2" fontId="5" fillId="0" borderId="0" xfId="0" applyNumberFormat="1" applyFont="1" applyAlignment="1">
      <alignment vertical="center"/>
    </xf>
    <xf numFmtId="0" fontId="1" fillId="0" borderId="0" xfId="0" applyFont="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2" fontId="4" fillId="0" borderId="4" xfId="0" applyNumberFormat="1" applyFont="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2" fillId="0" borderId="0" xfId="0" applyFont="1" applyAlignment="1">
      <alignment horizontal="right" vertical="center"/>
    </xf>
    <xf numFmtId="0" fontId="16" fillId="0" borderId="0" xfId="0" applyFont="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349251</xdr:colOff>
      <xdr:row>19</xdr:row>
      <xdr:rowOff>50801</xdr:rowOff>
    </xdr:from>
    <xdr:to>
      <xdr:col>0</xdr:col>
      <xdr:colOff>2838451</xdr:colOff>
      <xdr:row>23</xdr:row>
      <xdr:rowOff>151131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763" r="12561" b="54400"/>
        <a:stretch/>
      </xdr:blipFill>
      <xdr:spPr>
        <a:xfrm>
          <a:off x="349251" y="3225801"/>
          <a:ext cx="2489200" cy="755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tabSelected="1" zoomScaleNormal="100" workbookViewId="0"/>
  </sheetViews>
  <sheetFormatPr defaultColWidth="9.109375" defaultRowHeight="13.2" x14ac:dyDescent="0.25"/>
  <cols>
    <col min="1" max="1" width="41.77734375" style="2" bestFit="1" customWidth="1"/>
    <col min="2" max="2" width="9.109375" style="2"/>
    <col min="3" max="3" width="74.33203125" style="2" bestFit="1" customWidth="1"/>
    <col min="4" max="4" width="6.77734375" style="2" customWidth="1"/>
    <col min="5" max="5" width="7.5546875" style="2" customWidth="1"/>
    <col min="6" max="6" width="8.33203125" style="2" bestFit="1" customWidth="1"/>
    <col min="7" max="7" width="8.77734375" style="2" customWidth="1"/>
    <col min="8" max="8" width="9.109375" style="2"/>
    <col min="9" max="9" width="10.77734375" style="2" customWidth="1"/>
    <col min="10" max="16384" width="9.109375" style="2"/>
  </cols>
  <sheetData>
    <row r="1" spans="1:10" ht="15.6" x14ac:dyDescent="0.25">
      <c r="A1" s="1" t="s">
        <v>2</v>
      </c>
      <c r="C1" s="3" t="s">
        <v>17</v>
      </c>
    </row>
    <row r="2" spans="1:10" x14ac:dyDescent="0.25">
      <c r="A2" s="59" t="s">
        <v>74</v>
      </c>
    </row>
    <row r="3" spans="1:10" x14ac:dyDescent="0.25">
      <c r="A3" s="5" t="s">
        <v>1</v>
      </c>
      <c r="C3" s="5" t="s">
        <v>71</v>
      </c>
      <c r="D3" s="5"/>
    </row>
    <row r="4" spans="1:10" x14ac:dyDescent="0.25">
      <c r="A4" s="2" t="s">
        <v>25</v>
      </c>
      <c r="B4" s="45">
        <v>15</v>
      </c>
      <c r="C4" s="6" t="s">
        <v>26</v>
      </c>
      <c r="D4" s="6"/>
    </row>
    <row r="5" spans="1:10" ht="13.8" thickBot="1" x14ac:dyDescent="0.3">
      <c r="A5" s="13" t="s">
        <v>39</v>
      </c>
      <c r="B5" s="45">
        <v>14.7</v>
      </c>
      <c r="C5" s="13" t="s">
        <v>75</v>
      </c>
      <c r="I5" s="5" t="s">
        <v>80</v>
      </c>
    </row>
    <row r="6" spans="1:10" ht="13.8" thickBot="1" x14ac:dyDescent="0.3">
      <c r="A6" s="2" t="s">
        <v>27</v>
      </c>
      <c r="B6" s="45">
        <v>64</v>
      </c>
      <c r="C6" s="2" t="s">
        <v>28</v>
      </c>
      <c r="I6" s="60" t="s">
        <v>77</v>
      </c>
      <c r="J6" s="61" t="s">
        <v>76</v>
      </c>
    </row>
    <row r="7" spans="1:10" x14ac:dyDescent="0.25">
      <c r="A7" s="2" t="s">
        <v>29</v>
      </c>
      <c r="B7" s="46">
        <v>3</v>
      </c>
      <c r="C7" s="2" t="s">
        <v>30</v>
      </c>
      <c r="I7" s="8">
        <v>0</v>
      </c>
      <c r="J7" s="9">
        <v>14.7</v>
      </c>
    </row>
    <row r="8" spans="1:10" x14ac:dyDescent="0.25">
      <c r="A8" s="2" t="s">
        <v>33</v>
      </c>
      <c r="B8" s="45">
        <v>22.2</v>
      </c>
      <c r="C8" s="2" t="s">
        <v>31</v>
      </c>
      <c r="I8" s="56">
        <v>500</v>
      </c>
      <c r="J8" s="62">
        <v>14.4</v>
      </c>
    </row>
    <row r="9" spans="1:10" x14ac:dyDescent="0.25">
      <c r="B9" s="12">
        <f>(0.15*B4)+B5</f>
        <v>16.95</v>
      </c>
      <c r="C9" s="13" t="s">
        <v>81</v>
      </c>
      <c r="I9" s="56">
        <v>1000</v>
      </c>
      <c r="J9" s="62">
        <v>14.2</v>
      </c>
    </row>
    <row r="10" spans="1:10" x14ac:dyDescent="0.25">
      <c r="B10" s="12">
        <f>(0.25*B4)+B5</f>
        <v>18.45</v>
      </c>
      <c r="C10" s="2" t="s">
        <v>32</v>
      </c>
      <c r="I10" s="56">
        <v>1500</v>
      </c>
      <c r="J10" s="62">
        <v>13.9</v>
      </c>
    </row>
    <row r="11" spans="1:10" x14ac:dyDescent="0.25">
      <c r="B11" s="12">
        <f>(0.5*B4)+B5</f>
        <v>22.2</v>
      </c>
      <c r="C11" s="13" t="s">
        <v>79</v>
      </c>
      <c r="I11" s="56">
        <v>2000</v>
      </c>
      <c r="J11" s="62">
        <v>13.7</v>
      </c>
    </row>
    <row r="12" spans="1:10" x14ac:dyDescent="0.25">
      <c r="C12" s="24" t="str">
        <f>IF(B14&lt;B7,"Relief pipe diameter must equal or exceed relief device diameter","")</f>
        <v/>
      </c>
      <c r="D12" s="24"/>
      <c r="I12" s="56">
        <v>2500</v>
      </c>
      <c r="J12" s="62">
        <v>13.4</v>
      </c>
    </row>
    <row r="13" spans="1:10" x14ac:dyDescent="0.25">
      <c r="A13" s="5" t="s">
        <v>34</v>
      </c>
      <c r="C13" s="24"/>
      <c r="D13" s="24"/>
      <c r="I13" s="56">
        <v>3000</v>
      </c>
      <c r="J13" s="62">
        <v>13.2</v>
      </c>
    </row>
    <row r="14" spans="1:10" ht="13.8" thickBot="1" x14ac:dyDescent="0.3">
      <c r="A14" s="2" t="s">
        <v>35</v>
      </c>
      <c r="B14" s="45">
        <v>3</v>
      </c>
      <c r="C14" s="13" t="s">
        <v>78</v>
      </c>
      <c r="D14" s="13"/>
      <c r="E14" s="5" t="s">
        <v>73</v>
      </c>
      <c r="I14" s="56">
        <v>3500</v>
      </c>
      <c r="J14" s="62">
        <v>12.9</v>
      </c>
    </row>
    <row r="15" spans="1:10" ht="13.8" thickBot="1" x14ac:dyDescent="0.3">
      <c r="A15" s="2" t="s">
        <v>3</v>
      </c>
      <c r="B15" s="18">
        <f>LOOKUP(B14,E16:E30,F16:F30)</f>
        <v>3.0680000000000001</v>
      </c>
      <c r="C15" s="13" t="s">
        <v>42</v>
      </c>
      <c r="E15" s="48" t="s">
        <v>37</v>
      </c>
      <c r="F15" s="47" t="s">
        <v>36</v>
      </c>
      <c r="G15" s="9" t="s">
        <v>0</v>
      </c>
      <c r="I15" s="56">
        <v>4000</v>
      </c>
      <c r="J15" s="62">
        <v>12.7</v>
      </c>
    </row>
    <row r="16" spans="1:10" x14ac:dyDescent="0.25">
      <c r="A16" s="2" t="s">
        <v>4</v>
      </c>
      <c r="B16" s="18">
        <f>LOOKUP(B14,E16:E30,G16:G30)</f>
        <v>1.7299999999999999E-2</v>
      </c>
      <c r="C16" s="13" t="s">
        <v>43</v>
      </c>
      <c r="E16" s="8">
        <v>0.5</v>
      </c>
      <c r="F16" s="32">
        <v>0.622</v>
      </c>
      <c r="G16" s="39">
        <v>2.5899999999999999E-2</v>
      </c>
      <c r="I16" s="56">
        <v>4500</v>
      </c>
      <c r="J16" s="62">
        <v>12.5</v>
      </c>
    </row>
    <row r="17" spans="1:10" x14ac:dyDescent="0.25">
      <c r="E17" s="56">
        <v>0.75</v>
      </c>
      <c r="F17" s="2">
        <v>0.82399999999999995</v>
      </c>
      <c r="G17" s="41">
        <v>2.4E-2</v>
      </c>
      <c r="I17" s="56">
        <v>5000</v>
      </c>
      <c r="J17" s="62">
        <v>12.2</v>
      </c>
    </row>
    <row r="18" spans="1:10" ht="13.8" thickBot="1" x14ac:dyDescent="0.3">
      <c r="A18" s="35" t="s">
        <v>65</v>
      </c>
      <c r="B18" s="42">
        <f>((0.2146*B15^5*(B8^2-B5^2))/(B16*B6^2))-((B15*LN(B8/B5))/(6*B16))</f>
        <v>215.6333662283966</v>
      </c>
      <c r="C18" s="13" t="s">
        <v>38</v>
      </c>
      <c r="E18" s="57">
        <v>1</v>
      </c>
      <c r="F18" s="7">
        <v>1.0489999999999999</v>
      </c>
      <c r="G18" s="33">
        <v>2.2499999999999999E-2</v>
      </c>
      <c r="I18" s="56">
        <v>6000</v>
      </c>
      <c r="J18" s="62">
        <v>11.8</v>
      </c>
    </row>
    <row r="19" spans="1:10" x14ac:dyDescent="0.25">
      <c r="A19" s="58" t="s">
        <v>72</v>
      </c>
      <c r="E19" s="56">
        <v>1.25</v>
      </c>
      <c r="F19" s="2">
        <v>1.38</v>
      </c>
      <c r="G19" s="40">
        <v>2.0899999999999998E-2</v>
      </c>
      <c r="I19" s="56">
        <v>7000</v>
      </c>
      <c r="J19" s="62">
        <v>11.3</v>
      </c>
    </row>
    <row r="20" spans="1:10" x14ac:dyDescent="0.25">
      <c r="E20" s="56">
        <v>1.5</v>
      </c>
      <c r="F20" s="2">
        <v>1.61</v>
      </c>
      <c r="G20" s="40">
        <v>2.0199999999999999E-2</v>
      </c>
      <c r="I20" s="56">
        <v>8000</v>
      </c>
      <c r="J20" s="62">
        <v>10.9</v>
      </c>
    </row>
    <row r="21" spans="1:10" ht="13.8" thickBot="1" x14ac:dyDescent="0.3">
      <c r="E21" s="56">
        <v>2</v>
      </c>
      <c r="F21" s="2">
        <v>2.0670000000000002</v>
      </c>
      <c r="G21" s="41">
        <v>1.9E-2</v>
      </c>
      <c r="I21" s="56">
        <v>9000</v>
      </c>
      <c r="J21" s="62">
        <v>10.5</v>
      </c>
    </row>
    <row r="22" spans="1:10" ht="13.8" thickBot="1" x14ac:dyDescent="0.3">
      <c r="E22" s="8">
        <v>2.5</v>
      </c>
      <c r="F22" s="32">
        <v>2.4689999999999999</v>
      </c>
      <c r="G22" s="39">
        <v>1.8200000000000001E-2</v>
      </c>
      <c r="I22" s="57">
        <v>10000</v>
      </c>
      <c r="J22" s="63">
        <v>10.1</v>
      </c>
    </row>
    <row r="23" spans="1:10" x14ac:dyDescent="0.25">
      <c r="A23" s="13"/>
      <c r="B23" s="5"/>
      <c r="E23" s="56">
        <v>3</v>
      </c>
      <c r="F23" s="2">
        <v>3.0680000000000001</v>
      </c>
      <c r="G23" s="40">
        <v>1.7299999999999999E-2</v>
      </c>
    </row>
    <row r="24" spans="1:10" ht="13.8" thickBot="1" x14ac:dyDescent="0.3">
      <c r="B24" s="43"/>
      <c r="E24" s="57">
        <v>4</v>
      </c>
      <c r="F24" s="7">
        <v>4.0259999999999998</v>
      </c>
      <c r="G24" s="33">
        <v>1.6299999999999999E-2</v>
      </c>
    </row>
    <row r="25" spans="1:10" x14ac:dyDescent="0.25">
      <c r="E25" s="56">
        <v>5</v>
      </c>
      <c r="F25" s="2">
        <v>5.0469999999999997</v>
      </c>
      <c r="G25" s="40">
        <v>1.55E-2</v>
      </c>
    </row>
    <row r="26" spans="1:10" ht="13.8" thickBot="1" x14ac:dyDescent="0.3">
      <c r="E26" s="57">
        <v>6</v>
      </c>
      <c r="F26" s="44">
        <v>6.0650000000000004</v>
      </c>
      <c r="G26" s="33">
        <v>1.49E-2</v>
      </c>
    </row>
    <row r="27" spans="1:10" x14ac:dyDescent="0.25">
      <c r="E27" s="54">
        <v>8</v>
      </c>
      <c r="F27" s="3">
        <v>7.9809999999999999</v>
      </c>
      <c r="G27" s="21">
        <v>1.41E-2</v>
      </c>
    </row>
    <row r="28" spans="1:10" x14ac:dyDescent="0.25">
      <c r="B28" s="6"/>
      <c r="E28" s="54">
        <v>10</v>
      </c>
      <c r="F28" s="3">
        <v>10.02</v>
      </c>
      <c r="G28" s="21">
        <v>1.35E-2</v>
      </c>
    </row>
    <row r="29" spans="1:10" x14ac:dyDescent="0.25">
      <c r="B29" s="6"/>
      <c r="E29" s="54">
        <v>12</v>
      </c>
      <c r="F29" s="3">
        <v>11.938000000000001</v>
      </c>
      <c r="G29" s="21">
        <v>1.3100000000000001E-2</v>
      </c>
    </row>
    <row r="30" spans="1:10" ht="13.8" thickBot="1" x14ac:dyDescent="0.3">
      <c r="B30" s="6"/>
      <c r="E30" s="55">
        <v>14</v>
      </c>
      <c r="F30" s="26">
        <v>13.124000000000001</v>
      </c>
      <c r="G30" s="27">
        <v>1.3299999999999999E-2</v>
      </c>
    </row>
    <row r="37" spans="1:1" x14ac:dyDescent="0.25">
      <c r="A37" s="5"/>
    </row>
    <row r="43" spans="1:1" x14ac:dyDescent="0.25">
      <c r="A43" s="5"/>
    </row>
    <row r="49" spans="1:1" x14ac:dyDescent="0.25">
      <c r="A49" s="5"/>
    </row>
  </sheetData>
  <phoneticPr fontId="12" type="noConversion"/>
  <dataValidations count="1">
    <dataValidation type="list" allowBlank="1" showInputMessage="1" showErrorMessage="1" sqref="B14" xr:uid="{00000000-0002-0000-0000-000000000000}">
      <formula1>$E$16:$E$30</formula1>
    </dataValidation>
  </dataValidations>
  <pageMargins left="0.75" right="0.75" top="1" bottom="1" header="0.5" footer="0.5"/>
  <pageSetup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90" zoomScaleNormal="90" workbookViewId="0"/>
  </sheetViews>
  <sheetFormatPr defaultColWidth="9.109375" defaultRowHeight="13.2" x14ac:dyDescent="0.25"/>
  <cols>
    <col min="1" max="1" width="41.77734375" style="2" bestFit="1" customWidth="1"/>
    <col min="2" max="2" width="10.33203125" style="2" customWidth="1"/>
    <col min="3" max="3" width="74.33203125" style="2" bestFit="1" customWidth="1"/>
    <col min="4" max="4" width="7" style="2" customWidth="1"/>
    <col min="5" max="5" width="8.109375" style="2" customWidth="1"/>
    <col min="6" max="6" width="8.33203125" style="2" bestFit="1" customWidth="1"/>
    <col min="7" max="7" width="8.77734375" style="2" customWidth="1"/>
    <col min="8" max="8" width="9.109375" style="2"/>
    <col min="9" max="9" width="10.77734375" style="2" customWidth="1"/>
    <col min="10" max="16384" width="9.109375" style="2"/>
  </cols>
  <sheetData>
    <row r="1" spans="1:10" ht="15.6" x14ac:dyDescent="0.25">
      <c r="A1" s="1" t="s">
        <v>24</v>
      </c>
      <c r="C1" s="3" t="s">
        <v>17</v>
      </c>
    </row>
    <row r="2" spans="1:10" ht="15.6" x14ac:dyDescent="0.25">
      <c r="A2" s="1" t="s">
        <v>20</v>
      </c>
      <c r="C2" s="34" t="s">
        <v>64</v>
      </c>
      <c r="D2" s="34"/>
    </row>
    <row r="3" spans="1:10" x14ac:dyDescent="0.25">
      <c r="A3" s="59" t="s">
        <v>74</v>
      </c>
    </row>
    <row r="4" spans="1:10" x14ac:dyDescent="0.25">
      <c r="A4" s="5" t="s">
        <v>6</v>
      </c>
      <c r="C4" s="5" t="s">
        <v>71</v>
      </c>
      <c r="D4" s="5"/>
    </row>
    <row r="5" spans="1:10" x14ac:dyDescent="0.25">
      <c r="A5" s="2" t="s">
        <v>25</v>
      </c>
      <c r="B5" s="45">
        <v>15</v>
      </c>
      <c r="C5" s="6" t="s">
        <v>26</v>
      </c>
      <c r="D5" s="6"/>
    </row>
    <row r="6" spans="1:10" ht="13.8" thickBot="1" x14ac:dyDescent="0.3">
      <c r="A6" s="13" t="s">
        <v>39</v>
      </c>
      <c r="B6" s="45">
        <v>14.7</v>
      </c>
      <c r="C6" s="13" t="s">
        <v>75</v>
      </c>
      <c r="D6" s="13"/>
      <c r="I6" s="5" t="s">
        <v>80</v>
      </c>
    </row>
    <row r="7" spans="1:10" ht="13.8" thickBot="1" x14ac:dyDescent="0.3">
      <c r="A7" s="13" t="s">
        <v>27</v>
      </c>
      <c r="B7" s="45">
        <v>64</v>
      </c>
      <c r="C7" s="2" t="s">
        <v>28</v>
      </c>
      <c r="I7" s="60" t="s">
        <v>77</v>
      </c>
      <c r="J7" s="61" t="s">
        <v>76</v>
      </c>
    </row>
    <row r="8" spans="1:10" x14ac:dyDescent="0.25">
      <c r="A8" s="13" t="s">
        <v>29</v>
      </c>
      <c r="B8" s="46">
        <v>3</v>
      </c>
      <c r="C8" s="2" t="s">
        <v>30</v>
      </c>
      <c r="I8" s="8">
        <v>0</v>
      </c>
      <c r="J8" s="9">
        <v>14.7</v>
      </c>
    </row>
    <row r="9" spans="1:10" x14ac:dyDescent="0.25">
      <c r="A9" s="13" t="s">
        <v>33</v>
      </c>
      <c r="B9" s="45">
        <v>22.2</v>
      </c>
      <c r="C9" s="2" t="s">
        <v>31</v>
      </c>
      <c r="I9" s="56">
        <v>500</v>
      </c>
      <c r="J9" s="62">
        <v>14.4</v>
      </c>
    </row>
    <row r="10" spans="1:10" x14ac:dyDescent="0.25">
      <c r="B10" s="12">
        <f>(0.15*B5)+B6</f>
        <v>16.95</v>
      </c>
      <c r="C10" s="13" t="s">
        <v>81</v>
      </c>
      <c r="I10" s="56">
        <v>1000</v>
      </c>
      <c r="J10" s="62">
        <v>14.2</v>
      </c>
    </row>
    <row r="11" spans="1:10" x14ac:dyDescent="0.25">
      <c r="B11" s="12">
        <f>(0.25*B5)+B6</f>
        <v>18.45</v>
      </c>
      <c r="C11" s="2" t="s">
        <v>32</v>
      </c>
      <c r="I11" s="56">
        <v>1500</v>
      </c>
      <c r="J11" s="62">
        <v>13.9</v>
      </c>
    </row>
    <row r="12" spans="1:10" x14ac:dyDescent="0.25">
      <c r="B12" s="12">
        <f>(0.5*B5)+B6</f>
        <v>22.2</v>
      </c>
      <c r="C12" s="13" t="s">
        <v>79</v>
      </c>
      <c r="I12" s="56">
        <v>2000</v>
      </c>
      <c r="J12" s="62">
        <v>13.7</v>
      </c>
    </row>
    <row r="13" spans="1:10" x14ac:dyDescent="0.25">
      <c r="B13" s="12"/>
      <c r="I13" s="56">
        <v>2500</v>
      </c>
      <c r="J13" s="62">
        <v>13.4</v>
      </c>
    </row>
    <row r="14" spans="1:10" x14ac:dyDescent="0.25">
      <c r="A14" s="5" t="s">
        <v>40</v>
      </c>
      <c r="B14" s="12"/>
      <c r="C14" s="24" t="str">
        <f>IF(B15&lt;B8,"Relief pipe diameter must equal or exceed relief device diameter","")</f>
        <v/>
      </c>
      <c r="D14" s="24"/>
      <c r="I14" s="56">
        <v>3000</v>
      </c>
      <c r="J14" s="62">
        <v>13.2</v>
      </c>
    </row>
    <row r="15" spans="1:10" ht="13.8" thickBot="1" x14ac:dyDescent="0.3">
      <c r="A15" s="13" t="s">
        <v>41</v>
      </c>
      <c r="B15" s="45">
        <v>3</v>
      </c>
      <c r="C15" s="13" t="s">
        <v>84</v>
      </c>
      <c r="D15" s="13"/>
      <c r="E15" s="5" t="s">
        <v>73</v>
      </c>
      <c r="I15" s="56">
        <v>3500</v>
      </c>
      <c r="J15" s="62">
        <v>12.9</v>
      </c>
    </row>
    <row r="16" spans="1:10" ht="13.8" thickBot="1" x14ac:dyDescent="0.3">
      <c r="A16" s="2" t="s">
        <v>18</v>
      </c>
      <c r="B16" s="18">
        <f>LOOKUP(B15,E17:E31,F17:F31)</f>
        <v>3.0680000000000001</v>
      </c>
      <c r="C16" s="13" t="s">
        <v>42</v>
      </c>
      <c r="E16" s="48" t="s">
        <v>37</v>
      </c>
      <c r="F16" s="47" t="s">
        <v>36</v>
      </c>
      <c r="G16" s="9" t="s">
        <v>0</v>
      </c>
      <c r="I16" s="56">
        <v>4000</v>
      </c>
      <c r="J16" s="62">
        <v>12.7</v>
      </c>
    </row>
    <row r="17" spans="1:10" x14ac:dyDescent="0.25">
      <c r="A17" s="2" t="s">
        <v>5</v>
      </c>
      <c r="B17" s="18">
        <f>LOOKUP(B15,E17:E31,G17:G31)</f>
        <v>1.7299999999999999E-2</v>
      </c>
      <c r="C17" s="13" t="s">
        <v>43</v>
      </c>
      <c r="E17" s="48">
        <v>0.5</v>
      </c>
      <c r="F17" s="10">
        <v>0.622</v>
      </c>
      <c r="G17" s="11">
        <v>2.5899999999999999E-2</v>
      </c>
      <c r="I17" s="56">
        <v>4500</v>
      </c>
      <c r="J17" s="62">
        <v>12.5</v>
      </c>
    </row>
    <row r="18" spans="1:10" x14ac:dyDescent="0.25">
      <c r="A18" s="13" t="s">
        <v>7</v>
      </c>
      <c r="B18" s="19">
        <f>(0.2146*(B9^2-B6^2)/B17)-((B7^2*LN(B9/B6))/(6*B17*B16^4))</f>
        <v>3249.3697587267789</v>
      </c>
      <c r="C18" s="13" t="s">
        <v>44</v>
      </c>
      <c r="E18" s="51">
        <v>0.75</v>
      </c>
      <c r="F18" s="13">
        <v>0.82399999999999995</v>
      </c>
      <c r="G18" s="14">
        <v>2.4E-2</v>
      </c>
      <c r="I18" s="56">
        <v>5000</v>
      </c>
      <c r="J18" s="62">
        <v>12.2</v>
      </c>
    </row>
    <row r="19" spans="1:10" ht="13.8" thickBot="1" x14ac:dyDescent="0.3">
      <c r="A19" s="13" t="s">
        <v>47</v>
      </c>
      <c r="B19" s="45">
        <v>11</v>
      </c>
      <c r="C19" s="13" t="s">
        <v>60</v>
      </c>
      <c r="E19" s="52">
        <v>1</v>
      </c>
      <c r="F19" s="15">
        <v>1.0489999999999999</v>
      </c>
      <c r="G19" s="16">
        <v>2.2499999999999999E-2</v>
      </c>
      <c r="I19" s="56">
        <v>6000</v>
      </c>
      <c r="J19" s="62">
        <v>11.8</v>
      </c>
    </row>
    <row r="20" spans="1:10" x14ac:dyDescent="0.25">
      <c r="A20" s="13" t="s">
        <v>8</v>
      </c>
      <c r="B20" s="19">
        <f>B19*B7^2/B16^5</f>
        <v>165.75851859649535</v>
      </c>
      <c r="C20" s="13" t="s">
        <v>68</v>
      </c>
      <c r="E20" s="53">
        <v>1.25</v>
      </c>
      <c r="F20" s="13">
        <v>1.38</v>
      </c>
      <c r="G20" s="17">
        <v>2.0899999999999998E-2</v>
      </c>
      <c r="I20" s="56">
        <v>7000</v>
      </c>
      <c r="J20" s="62">
        <v>11.3</v>
      </c>
    </row>
    <row r="21" spans="1:10" x14ac:dyDescent="0.25">
      <c r="A21" s="22" t="s">
        <v>19</v>
      </c>
      <c r="B21" s="23" t="str">
        <f>IF(B20&lt;B18,"OK","Too Small")</f>
        <v>OK</v>
      </c>
      <c r="C21" s="13" t="s">
        <v>82</v>
      </c>
      <c r="D21" s="29"/>
      <c r="E21" s="51">
        <v>1.5</v>
      </c>
      <c r="F21" s="13">
        <v>1.61</v>
      </c>
      <c r="G21" s="17">
        <v>2.0199999999999999E-2</v>
      </c>
      <c r="I21" s="56">
        <v>8000</v>
      </c>
      <c r="J21" s="62">
        <v>10.9</v>
      </c>
    </row>
    <row r="22" spans="1:10" ht="13.8" thickBot="1" x14ac:dyDescent="0.3">
      <c r="A22" s="22"/>
      <c r="B22" s="35"/>
      <c r="C22" s="24"/>
      <c r="D22" s="24"/>
      <c r="E22" s="51">
        <v>2</v>
      </c>
      <c r="F22" s="13">
        <v>2.0670000000000002</v>
      </c>
      <c r="G22" s="14">
        <v>1.9E-2</v>
      </c>
      <c r="I22" s="56">
        <v>9000</v>
      </c>
      <c r="J22" s="62">
        <v>10.5</v>
      </c>
    </row>
    <row r="23" spans="1:10" ht="13.8" thickBot="1" x14ac:dyDescent="0.3">
      <c r="A23" s="13" t="s">
        <v>9</v>
      </c>
      <c r="B23" s="19">
        <f>B18-B20</f>
        <v>3083.6112401302835</v>
      </c>
      <c r="C23" s="13" t="s">
        <v>46</v>
      </c>
      <c r="E23" s="48">
        <v>2.5</v>
      </c>
      <c r="F23" s="10">
        <v>2.4689999999999999</v>
      </c>
      <c r="G23" s="11">
        <v>1.8200000000000001E-2</v>
      </c>
      <c r="H23" s="36"/>
      <c r="I23" s="57">
        <v>10000</v>
      </c>
      <c r="J23" s="63">
        <v>10.1</v>
      </c>
    </row>
    <row r="24" spans="1:10" x14ac:dyDescent="0.25">
      <c r="E24" s="51">
        <v>3</v>
      </c>
      <c r="F24" s="13">
        <v>3.0680000000000001</v>
      </c>
      <c r="G24" s="17">
        <v>1.7299999999999999E-2</v>
      </c>
      <c r="H24" s="4"/>
    </row>
    <row r="25" spans="1:10" ht="13.8" thickBot="1" x14ac:dyDescent="0.3">
      <c r="A25" s="5" t="s">
        <v>52</v>
      </c>
      <c r="E25" s="52">
        <v>4</v>
      </c>
      <c r="F25" s="15">
        <v>4.0259999999999998</v>
      </c>
      <c r="G25" s="16">
        <v>1.6299999999999999E-2</v>
      </c>
    </row>
    <row r="26" spans="1:10" x14ac:dyDescent="0.25">
      <c r="A26" s="13" t="s">
        <v>48</v>
      </c>
      <c r="B26" s="45">
        <v>3</v>
      </c>
      <c r="C26" s="13" t="s">
        <v>49</v>
      </c>
      <c r="E26" s="48">
        <v>5</v>
      </c>
      <c r="F26" s="10">
        <v>5.0469999999999997</v>
      </c>
      <c r="G26" s="11">
        <v>1.55E-2</v>
      </c>
    </row>
    <row r="27" spans="1:10" ht="13.8" thickBot="1" x14ac:dyDescent="0.3">
      <c r="A27" s="13" t="s">
        <v>50</v>
      </c>
      <c r="B27" s="45">
        <v>40</v>
      </c>
      <c r="C27" s="13" t="s">
        <v>51</v>
      </c>
      <c r="E27" s="52">
        <v>6</v>
      </c>
      <c r="F27" s="20">
        <v>6.0650000000000004</v>
      </c>
      <c r="G27" s="16">
        <v>1.49E-2</v>
      </c>
    </row>
    <row r="28" spans="1:10" x14ac:dyDescent="0.25">
      <c r="A28" s="13" t="s">
        <v>61</v>
      </c>
      <c r="B28" s="45">
        <v>4</v>
      </c>
      <c r="C28" s="13" t="s">
        <v>53</v>
      </c>
      <c r="E28" s="54">
        <v>8</v>
      </c>
      <c r="F28" s="3">
        <v>7.9809999999999999</v>
      </c>
      <c r="G28" s="21">
        <v>1.41E-2</v>
      </c>
    </row>
    <row r="29" spans="1:10" x14ac:dyDescent="0.25">
      <c r="A29" s="13" t="s">
        <v>62</v>
      </c>
      <c r="B29" s="18">
        <f>LOOKUP(B28,E17:E31,F17:F31)</f>
        <v>4.0259999999999998</v>
      </c>
      <c r="C29" s="13" t="s">
        <v>42</v>
      </c>
      <c r="E29" s="54">
        <v>10</v>
      </c>
      <c r="F29" s="3">
        <v>10.02</v>
      </c>
      <c r="G29" s="21">
        <v>1.35E-2</v>
      </c>
    </row>
    <row r="30" spans="1:10" x14ac:dyDescent="0.25">
      <c r="A30" s="13" t="s">
        <v>8</v>
      </c>
      <c r="B30" s="19">
        <f>B27*(B26*B7)^2/B29^5</f>
        <v>1394.0989367516452</v>
      </c>
      <c r="C30" s="13" t="s">
        <v>69</v>
      </c>
      <c r="E30" s="54">
        <v>12</v>
      </c>
      <c r="F30" s="3">
        <v>11.938000000000001</v>
      </c>
      <c r="G30" s="21">
        <v>1.3100000000000001E-2</v>
      </c>
    </row>
    <row r="31" spans="1:10" ht="13.8" thickBot="1" x14ac:dyDescent="0.3">
      <c r="A31" s="22" t="s">
        <v>21</v>
      </c>
      <c r="B31" s="23" t="str">
        <f>IF(B30&lt;B23,"OK","Too small")</f>
        <v>OK</v>
      </c>
      <c r="C31" s="13" t="s">
        <v>85</v>
      </c>
      <c r="D31" s="29"/>
      <c r="E31" s="55">
        <v>14</v>
      </c>
      <c r="F31" s="26">
        <v>13.124000000000001</v>
      </c>
      <c r="G31" s="27">
        <v>1.3299999999999999E-2</v>
      </c>
    </row>
    <row r="32" spans="1:10" x14ac:dyDescent="0.25">
      <c r="A32" s="22"/>
      <c r="B32" s="23"/>
      <c r="C32" s="37"/>
      <c r="D32" s="29"/>
    </row>
    <row r="33" spans="1:5" x14ac:dyDescent="0.25">
      <c r="A33" s="22"/>
      <c r="D33" s="37"/>
    </row>
    <row r="35" spans="1:5" x14ac:dyDescent="0.25">
      <c r="B35" s="25"/>
    </row>
    <row r="37" spans="1:5" x14ac:dyDescent="0.25">
      <c r="B37" s="5"/>
    </row>
    <row r="38" spans="1:5" x14ac:dyDescent="0.25">
      <c r="B38" s="49"/>
      <c r="E38" s="38"/>
    </row>
    <row r="39" spans="1:5" x14ac:dyDescent="0.25">
      <c r="B39" s="49"/>
      <c r="E39" s="38"/>
    </row>
    <row r="40" spans="1:5" x14ac:dyDescent="0.25">
      <c r="B40" s="49"/>
    </row>
  </sheetData>
  <phoneticPr fontId="12" type="noConversion"/>
  <dataValidations count="1">
    <dataValidation type="list" showInputMessage="1" showErrorMessage="1" errorTitle="Invalid Entry" error="Choose a value from the NPS column of Table 1" sqref="B28 B15" xr:uid="{00000000-0002-0000-0100-000000000000}">
      <formula1>$E$17:$E$31</formula1>
    </dataValidation>
  </dataValidations>
  <pageMargins left="0.75" right="0.75" top="1" bottom="1" header="0.5" footer="0.5"/>
  <pageSetup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zoomScale="90" zoomScaleNormal="90" workbookViewId="0"/>
  </sheetViews>
  <sheetFormatPr defaultColWidth="9.109375" defaultRowHeight="13.2" x14ac:dyDescent="0.25"/>
  <cols>
    <col min="1" max="1" width="41.77734375" style="2" bestFit="1" customWidth="1"/>
    <col min="2" max="7" width="10.33203125" style="2" customWidth="1"/>
    <col min="8" max="8" width="74.33203125" style="2" bestFit="1" customWidth="1"/>
    <col min="9" max="9" width="8.21875" style="2" customWidth="1"/>
    <col min="10" max="10" width="8.33203125" style="2" bestFit="1" customWidth="1"/>
    <col min="11" max="11" width="7.6640625" style="2" customWidth="1"/>
    <col min="12" max="12" width="9.109375" style="2"/>
    <col min="13" max="13" width="10.77734375" style="2" customWidth="1"/>
    <col min="14" max="16384" width="9.109375" style="2"/>
  </cols>
  <sheetData>
    <row r="1" spans="1:14" ht="15.6" x14ac:dyDescent="0.25">
      <c r="A1" s="1" t="s">
        <v>23</v>
      </c>
      <c r="C1" s="3" t="s">
        <v>17</v>
      </c>
      <c r="D1" s="3"/>
      <c r="E1" s="3"/>
    </row>
    <row r="2" spans="1:14" ht="15.6" x14ac:dyDescent="0.25">
      <c r="A2" s="1" t="s">
        <v>22</v>
      </c>
      <c r="C2" s="4" t="s">
        <v>63</v>
      </c>
    </row>
    <row r="3" spans="1:14" x14ac:dyDescent="0.25">
      <c r="A3" s="59" t="s">
        <v>74</v>
      </c>
    </row>
    <row r="4" spans="1:14" x14ac:dyDescent="0.25">
      <c r="A4" s="5" t="s">
        <v>6</v>
      </c>
      <c r="B4" s="50" t="s">
        <v>10</v>
      </c>
      <c r="C4" s="50" t="s">
        <v>11</v>
      </c>
      <c r="D4" s="50" t="s">
        <v>12</v>
      </c>
      <c r="E4" s="50" t="s">
        <v>13</v>
      </c>
      <c r="F4" s="50" t="s">
        <v>14</v>
      </c>
      <c r="G4" s="50" t="s">
        <v>15</v>
      </c>
      <c r="H4" s="5" t="s">
        <v>71</v>
      </c>
    </row>
    <row r="5" spans="1:14" x14ac:dyDescent="0.25">
      <c r="A5" s="13" t="s">
        <v>25</v>
      </c>
      <c r="B5" s="45">
        <v>200</v>
      </c>
      <c r="C5" s="45">
        <v>200</v>
      </c>
      <c r="D5" s="45">
        <v>200</v>
      </c>
      <c r="E5" s="45"/>
      <c r="F5" s="45"/>
      <c r="G5" s="45"/>
      <c r="H5" s="6" t="s">
        <v>26</v>
      </c>
    </row>
    <row r="6" spans="1:14" ht="13.8" thickBot="1" x14ac:dyDescent="0.3">
      <c r="A6" s="13" t="s">
        <v>39</v>
      </c>
      <c r="B6" s="45">
        <v>14.7</v>
      </c>
      <c r="C6" s="45">
        <v>14.7</v>
      </c>
      <c r="D6" s="45">
        <v>14.7</v>
      </c>
      <c r="E6" s="45"/>
      <c r="F6" s="45"/>
      <c r="G6" s="45"/>
      <c r="H6" s="13" t="s">
        <v>75</v>
      </c>
      <c r="M6" s="5" t="s">
        <v>80</v>
      </c>
    </row>
    <row r="7" spans="1:14" ht="13.8" thickBot="1" x14ac:dyDescent="0.3">
      <c r="A7" s="13" t="s">
        <v>27</v>
      </c>
      <c r="B7" s="45">
        <v>78</v>
      </c>
      <c r="C7" s="45">
        <v>48</v>
      </c>
      <c r="D7" s="45">
        <v>48</v>
      </c>
      <c r="E7" s="45"/>
      <c r="F7" s="45"/>
      <c r="G7" s="45"/>
      <c r="H7" s="2" t="s">
        <v>28</v>
      </c>
      <c r="M7" s="60" t="s">
        <v>77</v>
      </c>
      <c r="N7" s="61" t="s">
        <v>76</v>
      </c>
    </row>
    <row r="8" spans="1:14" x14ac:dyDescent="0.25">
      <c r="A8" s="13" t="s">
        <v>29</v>
      </c>
      <c r="B8" s="45">
        <v>1.25</v>
      </c>
      <c r="C8" s="45">
        <v>1.25</v>
      </c>
      <c r="D8" s="45">
        <v>1.25</v>
      </c>
      <c r="E8" s="45"/>
      <c r="F8" s="45"/>
      <c r="G8" s="45"/>
      <c r="H8" s="2" t="s">
        <v>30</v>
      </c>
      <c r="M8" s="8">
        <v>0</v>
      </c>
      <c r="N8" s="9">
        <v>14.7</v>
      </c>
    </row>
    <row r="9" spans="1:14" x14ac:dyDescent="0.25">
      <c r="A9" s="13" t="s">
        <v>33</v>
      </c>
      <c r="B9" s="45">
        <v>44.7</v>
      </c>
      <c r="C9" s="45">
        <v>44.7</v>
      </c>
      <c r="D9" s="45">
        <v>44.7</v>
      </c>
      <c r="E9" s="45"/>
      <c r="F9" s="45"/>
      <c r="G9" s="45"/>
      <c r="H9" s="2" t="s">
        <v>31</v>
      </c>
      <c r="M9" s="56">
        <v>500</v>
      </c>
      <c r="N9" s="62">
        <v>14.4</v>
      </c>
    </row>
    <row r="10" spans="1:14" x14ac:dyDescent="0.25">
      <c r="B10" s="12">
        <f t="shared" ref="B10:G10" si="0">(0.15*B5)+B6</f>
        <v>44.7</v>
      </c>
      <c r="C10" s="12">
        <f t="shared" si="0"/>
        <v>44.7</v>
      </c>
      <c r="D10" s="12">
        <f t="shared" si="0"/>
        <v>44.7</v>
      </c>
      <c r="E10" s="12">
        <f t="shared" si="0"/>
        <v>0</v>
      </c>
      <c r="F10" s="12">
        <f t="shared" si="0"/>
        <v>0</v>
      </c>
      <c r="G10" s="12">
        <f t="shared" si="0"/>
        <v>0</v>
      </c>
      <c r="H10" s="13" t="s">
        <v>81</v>
      </c>
      <c r="M10" s="56">
        <v>1000</v>
      </c>
      <c r="N10" s="62">
        <v>14.2</v>
      </c>
    </row>
    <row r="11" spans="1:14" x14ac:dyDescent="0.25">
      <c r="B11" s="12">
        <f t="shared" ref="B11:G11" si="1">(0.25*B5)+B6</f>
        <v>64.7</v>
      </c>
      <c r="C11" s="12">
        <f t="shared" si="1"/>
        <v>64.7</v>
      </c>
      <c r="D11" s="12">
        <f t="shared" si="1"/>
        <v>64.7</v>
      </c>
      <c r="E11" s="12">
        <f t="shared" si="1"/>
        <v>0</v>
      </c>
      <c r="F11" s="12">
        <f t="shared" si="1"/>
        <v>0</v>
      </c>
      <c r="G11" s="12">
        <f t="shared" si="1"/>
        <v>0</v>
      </c>
      <c r="H11" s="2" t="s">
        <v>32</v>
      </c>
      <c r="M11" s="56">
        <v>1500</v>
      </c>
      <c r="N11" s="62">
        <v>13.9</v>
      </c>
    </row>
    <row r="12" spans="1:14" x14ac:dyDescent="0.25">
      <c r="B12" s="12">
        <f t="shared" ref="B12:G12" si="2">(0.5*B5)+B6</f>
        <v>114.7</v>
      </c>
      <c r="C12" s="12">
        <f t="shared" si="2"/>
        <v>114.7</v>
      </c>
      <c r="D12" s="12">
        <f t="shared" si="2"/>
        <v>114.7</v>
      </c>
      <c r="E12" s="12">
        <f t="shared" si="2"/>
        <v>0</v>
      </c>
      <c r="F12" s="12">
        <f t="shared" si="2"/>
        <v>0</v>
      </c>
      <c r="G12" s="12">
        <f t="shared" si="2"/>
        <v>0</v>
      </c>
      <c r="H12" s="13" t="s">
        <v>79</v>
      </c>
      <c r="M12" s="56">
        <v>2000</v>
      </c>
      <c r="N12" s="62">
        <v>13.7</v>
      </c>
    </row>
    <row r="13" spans="1:14" x14ac:dyDescent="0.25">
      <c r="M13" s="56">
        <v>2500</v>
      </c>
      <c r="N13" s="62">
        <v>13.4</v>
      </c>
    </row>
    <row r="14" spans="1:14" x14ac:dyDescent="0.25">
      <c r="A14" s="5" t="s">
        <v>40</v>
      </c>
      <c r="B14" s="50" t="s">
        <v>54</v>
      </c>
      <c r="C14" s="50" t="s">
        <v>55</v>
      </c>
      <c r="D14" s="50" t="s">
        <v>56</v>
      </c>
      <c r="E14" s="50" t="s">
        <v>57</v>
      </c>
      <c r="F14" s="50" t="s">
        <v>58</v>
      </c>
      <c r="G14" s="50" t="s">
        <v>59</v>
      </c>
      <c r="H14" s="4"/>
      <c r="M14" s="56">
        <v>3000</v>
      </c>
      <c r="N14" s="62">
        <v>13.2</v>
      </c>
    </row>
    <row r="15" spans="1:14" ht="13.8" thickBot="1" x14ac:dyDescent="0.3">
      <c r="A15" s="13" t="s">
        <v>41</v>
      </c>
      <c r="B15" s="45">
        <v>1.5</v>
      </c>
      <c r="C15" s="45">
        <v>1.25</v>
      </c>
      <c r="D15" s="45">
        <v>1.25</v>
      </c>
      <c r="E15" s="45"/>
      <c r="F15" s="45"/>
      <c r="G15" s="45"/>
      <c r="H15" s="13" t="s">
        <v>84</v>
      </c>
      <c r="I15" s="5" t="s">
        <v>73</v>
      </c>
      <c r="M15" s="56">
        <v>3500</v>
      </c>
      <c r="N15" s="62">
        <v>12.9</v>
      </c>
    </row>
    <row r="16" spans="1:14" ht="13.8" thickBot="1" x14ac:dyDescent="0.3">
      <c r="A16" s="2" t="s">
        <v>18</v>
      </c>
      <c r="B16" s="18">
        <f t="shared" ref="B16:G16" si="3">IF(B5&lt;1,0,LOOKUP(B15,$I17:$I28,$J17:$J28))</f>
        <v>1.61</v>
      </c>
      <c r="C16" s="18">
        <f t="shared" si="3"/>
        <v>1.38</v>
      </c>
      <c r="D16" s="18">
        <f t="shared" si="3"/>
        <v>1.38</v>
      </c>
      <c r="E16" s="18">
        <f t="shared" si="3"/>
        <v>0</v>
      </c>
      <c r="F16" s="18">
        <f t="shared" si="3"/>
        <v>0</v>
      </c>
      <c r="G16" s="18">
        <f t="shared" si="3"/>
        <v>0</v>
      </c>
      <c r="H16" s="13" t="s">
        <v>42</v>
      </c>
      <c r="I16" s="48" t="s">
        <v>37</v>
      </c>
      <c r="J16" s="47" t="s">
        <v>36</v>
      </c>
      <c r="K16" s="9" t="s">
        <v>0</v>
      </c>
      <c r="M16" s="56">
        <v>4000</v>
      </c>
      <c r="N16" s="62">
        <v>12.7</v>
      </c>
    </row>
    <row r="17" spans="1:14" x14ac:dyDescent="0.25">
      <c r="A17" s="2" t="s">
        <v>5</v>
      </c>
      <c r="B17" s="18">
        <f t="shared" ref="B17:G17" si="4">LOOKUP(B15,$I17:$I28,$K17:$K28)</f>
        <v>2.0199999999999999E-2</v>
      </c>
      <c r="C17" s="18">
        <f t="shared" si="4"/>
        <v>2.0899999999999998E-2</v>
      </c>
      <c r="D17" s="18">
        <f t="shared" si="4"/>
        <v>2.0899999999999998E-2</v>
      </c>
      <c r="E17" s="18" t="e">
        <f t="shared" si="4"/>
        <v>#N/A</v>
      </c>
      <c r="F17" s="18" t="e">
        <f t="shared" si="4"/>
        <v>#N/A</v>
      </c>
      <c r="G17" s="18" t="e">
        <f t="shared" si="4"/>
        <v>#N/A</v>
      </c>
      <c r="H17" s="13" t="s">
        <v>43</v>
      </c>
      <c r="I17" s="48">
        <v>0.5</v>
      </c>
      <c r="J17" s="10">
        <v>0.622</v>
      </c>
      <c r="K17" s="11">
        <v>2.5899999999999999E-2</v>
      </c>
      <c r="M17" s="56">
        <v>4500</v>
      </c>
      <c r="N17" s="62">
        <v>12.5</v>
      </c>
    </row>
    <row r="18" spans="1:14" x14ac:dyDescent="0.25">
      <c r="A18" s="13" t="s">
        <v>7</v>
      </c>
      <c r="B18" s="19">
        <f>IF(B5&lt;1,1,(0.2146*(B9^2-B6^2)/B17)-(B7^2*LN(B9/B6)/(6*B17*B16^4)))</f>
        <v>10622.768022982122</v>
      </c>
      <c r="C18" s="19">
        <f t="shared" ref="C18:G18" si="5">IF(C5&lt;1,1,(0.2146*(C9^2-C6^2)/C17)-(C7^2*LN(C9/C6)/(6*C17*C16^4)))</f>
        <v>12663.399127343717</v>
      </c>
      <c r="D18" s="19">
        <f t="shared" si="5"/>
        <v>12663.399127343717</v>
      </c>
      <c r="E18" s="19">
        <f t="shared" si="5"/>
        <v>1</v>
      </c>
      <c r="F18" s="19">
        <f t="shared" si="5"/>
        <v>1</v>
      </c>
      <c r="G18" s="19">
        <f t="shared" si="5"/>
        <v>1</v>
      </c>
      <c r="H18" s="13" t="s">
        <v>44</v>
      </c>
      <c r="I18" s="51">
        <v>0.75</v>
      </c>
      <c r="J18" s="13">
        <v>0.82399999999999995</v>
      </c>
      <c r="K18" s="14">
        <v>2.4E-2</v>
      </c>
      <c r="M18" s="56">
        <v>5000</v>
      </c>
      <c r="N18" s="62">
        <v>12.2</v>
      </c>
    </row>
    <row r="19" spans="1:14" ht="13.8" thickBot="1" x14ac:dyDescent="0.3">
      <c r="A19" s="13" t="s">
        <v>47</v>
      </c>
      <c r="B19" s="45">
        <v>10</v>
      </c>
      <c r="C19" s="45">
        <v>10</v>
      </c>
      <c r="D19" s="45">
        <v>10</v>
      </c>
      <c r="E19" s="45"/>
      <c r="F19" s="45"/>
      <c r="G19" s="45"/>
      <c r="H19" s="13" t="s">
        <v>45</v>
      </c>
      <c r="I19" s="52">
        <v>1</v>
      </c>
      <c r="J19" s="15">
        <v>1.0489999999999999</v>
      </c>
      <c r="K19" s="16">
        <v>2.2499999999999999E-2</v>
      </c>
      <c r="M19" s="56">
        <v>6000</v>
      </c>
      <c r="N19" s="62">
        <v>11.8</v>
      </c>
    </row>
    <row r="20" spans="1:14" x14ac:dyDescent="0.25">
      <c r="A20" s="13" t="s">
        <v>8</v>
      </c>
      <c r="B20" s="19">
        <f t="shared" ref="B20:G20" si="6">IF(B5&lt;1,0,B19*B7^2/B16^5)</f>
        <v>5624.1879454148457</v>
      </c>
      <c r="C20" s="19">
        <f t="shared" si="6"/>
        <v>4603.488289798981</v>
      </c>
      <c r="D20" s="19">
        <f t="shared" si="6"/>
        <v>4603.488289798981</v>
      </c>
      <c r="E20" s="19">
        <f t="shared" si="6"/>
        <v>0</v>
      </c>
      <c r="F20" s="19">
        <f t="shared" si="6"/>
        <v>0</v>
      </c>
      <c r="G20" s="19">
        <f t="shared" si="6"/>
        <v>0</v>
      </c>
      <c r="H20" s="13" t="s">
        <v>68</v>
      </c>
      <c r="I20" s="53">
        <v>1.25</v>
      </c>
      <c r="J20" s="13">
        <v>1.38</v>
      </c>
      <c r="K20" s="17">
        <v>2.0899999999999998E-2</v>
      </c>
      <c r="M20" s="56">
        <v>7000</v>
      </c>
      <c r="N20" s="62">
        <v>11.3</v>
      </c>
    </row>
    <row r="21" spans="1:14" x14ac:dyDescent="0.25">
      <c r="A21" s="22" t="s">
        <v>19</v>
      </c>
      <c r="B21" s="23" t="str">
        <f t="shared" ref="B21:G21" si="7">IF(AND(B20&lt;B18,B8&lt;=B15),"OK","Too Small")</f>
        <v>OK</v>
      </c>
      <c r="C21" s="23" t="str">
        <f t="shared" si="7"/>
        <v>OK</v>
      </c>
      <c r="D21" s="23" t="str">
        <f t="shared" si="7"/>
        <v>OK</v>
      </c>
      <c r="E21" s="23" t="str">
        <f t="shared" si="7"/>
        <v>OK</v>
      </c>
      <c r="F21" s="23" t="str">
        <f t="shared" si="7"/>
        <v>OK</v>
      </c>
      <c r="G21" s="23" t="str">
        <f t="shared" si="7"/>
        <v>OK</v>
      </c>
      <c r="H21" s="13" t="s">
        <v>82</v>
      </c>
      <c r="I21" s="51">
        <v>1.5</v>
      </c>
      <c r="J21" s="13">
        <v>1.61</v>
      </c>
      <c r="K21" s="17">
        <v>2.0199999999999999E-2</v>
      </c>
      <c r="M21" s="56">
        <v>8000</v>
      </c>
      <c r="N21" s="62">
        <v>10.9</v>
      </c>
    </row>
    <row r="22" spans="1:14" ht="13.8" thickBot="1" x14ac:dyDescent="0.3">
      <c r="A22" s="13"/>
      <c r="B22" s="25"/>
      <c r="C22" s="25"/>
      <c r="D22" s="25"/>
      <c r="E22" s="25"/>
      <c r="F22" s="25"/>
      <c r="G22" s="25"/>
      <c r="I22" s="51">
        <v>2</v>
      </c>
      <c r="J22" s="13">
        <v>2.0670000000000002</v>
      </c>
      <c r="K22" s="14">
        <v>1.9E-2</v>
      </c>
      <c r="M22" s="56">
        <v>9000</v>
      </c>
      <c r="N22" s="62">
        <v>10.5</v>
      </c>
    </row>
    <row r="23" spans="1:14" ht="13.8" thickBot="1" x14ac:dyDescent="0.3">
      <c r="A23" s="13" t="s">
        <v>9</v>
      </c>
      <c r="B23" s="19">
        <f>IF(B5&lt;1,0,B18-B20)</f>
        <v>4998.580077567276</v>
      </c>
      <c r="C23" s="19">
        <f>IF(C5&lt;1,$B$23,C18-C20)</f>
        <v>8059.9108375447358</v>
      </c>
      <c r="D23" s="19">
        <f t="shared" ref="D23:G23" si="8">IF(D5&lt;1,$B$23,D18-D20)</f>
        <v>8059.9108375447358</v>
      </c>
      <c r="E23" s="19">
        <f t="shared" si="8"/>
        <v>4998.580077567276</v>
      </c>
      <c r="F23" s="19">
        <f t="shared" si="8"/>
        <v>4998.580077567276</v>
      </c>
      <c r="G23" s="19">
        <f t="shared" si="8"/>
        <v>4998.580077567276</v>
      </c>
      <c r="H23" s="13" t="s">
        <v>66</v>
      </c>
      <c r="I23" s="48">
        <v>2.5</v>
      </c>
      <c r="J23" s="10">
        <v>2.4689999999999999</v>
      </c>
      <c r="K23" s="11">
        <v>1.8200000000000001E-2</v>
      </c>
      <c r="M23" s="57">
        <v>10000</v>
      </c>
      <c r="N23" s="63">
        <v>10.1</v>
      </c>
    </row>
    <row r="24" spans="1:14" x14ac:dyDescent="0.25">
      <c r="A24" s="2" t="s">
        <v>16</v>
      </c>
      <c r="B24" s="19">
        <f>SMALL(B23:G23,1)</f>
        <v>4998.580077567276</v>
      </c>
      <c r="C24" s="19"/>
      <c r="D24" s="19"/>
      <c r="E24" s="19"/>
      <c r="F24" s="19"/>
      <c r="G24" s="19"/>
      <c r="H24" s="13" t="s">
        <v>67</v>
      </c>
      <c r="I24" s="51">
        <v>3</v>
      </c>
      <c r="J24" s="13">
        <v>3.0680000000000001</v>
      </c>
      <c r="K24" s="17">
        <v>1.7299999999999999E-2</v>
      </c>
    </row>
    <row r="25" spans="1:14" ht="13.8" thickBot="1" x14ac:dyDescent="0.3">
      <c r="I25" s="52">
        <v>4</v>
      </c>
      <c r="J25" s="15">
        <v>4.0259999999999998</v>
      </c>
      <c r="K25" s="16">
        <v>1.6299999999999999E-2</v>
      </c>
    </row>
    <row r="26" spans="1:14" x14ac:dyDescent="0.25">
      <c r="A26" s="5" t="s">
        <v>52</v>
      </c>
      <c r="C26" s="5"/>
      <c r="D26" s="5"/>
      <c r="E26" s="5"/>
      <c r="F26" s="5"/>
      <c r="G26" s="5"/>
      <c r="I26" s="48">
        <v>5</v>
      </c>
      <c r="J26" s="10">
        <v>5.0469999999999997</v>
      </c>
      <c r="K26" s="11">
        <v>1.55E-2</v>
      </c>
    </row>
    <row r="27" spans="1:14" ht="13.8" thickBot="1" x14ac:dyDescent="0.3">
      <c r="A27" s="13" t="s">
        <v>50</v>
      </c>
      <c r="B27" s="45">
        <v>30</v>
      </c>
      <c r="C27" s="13" t="s">
        <v>51</v>
      </c>
      <c r="D27" s="13"/>
      <c r="E27" s="13"/>
      <c r="F27" s="13"/>
      <c r="G27" s="13"/>
      <c r="H27" s="28"/>
      <c r="I27" s="52">
        <v>6</v>
      </c>
      <c r="J27" s="20">
        <v>6.0650000000000004</v>
      </c>
      <c r="K27" s="16">
        <v>1.49E-2</v>
      </c>
    </row>
    <row r="28" spans="1:14" x14ac:dyDescent="0.25">
      <c r="A28" s="13" t="s">
        <v>61</v>
      </c>
      <c r="B28" s="45">
        <v>3</v>
      </c>
      <c r="C28" s="13" t="s">
        <v>53</v>
      </c>
      <c r="D28" s="13"/>
      <c r="E28" s="13"/>
      <c r="F28" s="13"/>
      <c r="G28" s="13"/>
      <c r="H28" s="24"/>
      <c r="I28" s="54">
        <v>8</v>
      </c>
      <c r="J28" s="3">
        <v>7.9809999999999999</v>
      </c>
      <c r="K28" s="21">
        <v>1.41E-2</v>
      </c>
    </row>
    <row r="29" spans="1:14" x14ac:dyDescent="0.25">
      <c r="A29" s="13" t="s">
        <v>62</v>
      </c>
      <c r="B29" s="18">
        <f>LOOKUP(B28,$I17:$I31,$J17:$J31)</f>
        <v>3.0680000000000001</v>
      </c>
      <c r="C29" s="13" t="s">
        <v>42</v>
      </c>
      <c r="D29" s="6"/>
      <c r="E29" s="6"/>
      <c r="F29" s="6"/>
      <c r="G29" s="6"/>
      <c r="I29" s="54">
        <v>10</v>
      </c>
      <c r="J29" s="3">
        <v>10.02</v>
      </c>
      <c r="K29" s="21">
        <v>1.35E-2</v>
      </c>
    </row>
    <row r="30" spans="1:14" x14ac:dyDescent="0.25">
      <c r="A30" s="13" t="s">
        <v>70</v>
      </c>
      <c r="B30" s="12">
        <f>SUM(B7:G7)</f>
        <v>174</v>
      </c>
      <c r="D30" s="6"/>
      <c r="E30" s="6"/>
      <c r="F30" s="6"/>
      <c r="G30" s="6"/>
      <c r="I30" s="54">
        <v>12</v>
      </c>
      <c r="J30" s="3">
        <v>11.938000000000001</v>
      </c>
      <c r="K30" s="21">
        <v>1.3100000000000001E-2</v>
      </c>
    </row>
    <row r="31" spans="1:14" ht="13.8" thickBot="1" x14ac:dyDescent="0.3">
      <c r="A31" s="13" t="s">
        <v>8</v>
      </c>
      <c r="B31" s="19">
        <f>B27*(B30)^2/B29^5</f>
        <v>3341.5116137878372</v>
      </c>
      <c r="C31" s="13" t="s">
        <v>69</v>
      </c>
      <c r="D31" s="6"/>
      <c r="E31" s="6"/>
      <c r="F31" s="6"/>
      <c r="G31" s="6"/>
      <c r="I31" s="55">
        <v>14</v>
      </c>
      <c r="J31" s="26">
        <v>13.124000000000001</v>
      </c>
      <c r="K31" s="27">
        <v>1.3299999999999999E-2</v>
      </c>
    </row>
    <row r="32" spans="1:14" x14ac:dyDescent="0.25">
      <c r="A32" s="22" t="s">
        <v>21</v>
      </c>
      <c r="B32" s="23" t="str">
        <f>IF(B31&lt;B24,"OK","Too small")</f>
        <v>OK</v>
      </c>
      <c r="C32" s="13" t="s">
        <v>83</v>
      </c>
      <c r="D32" s="6"/>
      <c r="E32" s="6"/>
      <c r="F32" s="6"/>
      <c r="G32" s="6"/>
    </row>
    <row r="33" spans="1:7" x14ac:dyDescent="0.25">
      <c r="A33" s="5"/>
      <c r="C33" s="24"/>
      <c r="D33" s="24"/>
      <c r="E33" s="24"/>
      <c r="F33" s="24"/>
      <c r="G33" s="24"/>
    </row>
    <row r="34" spans="1:7" x14ac:dyDescent="0.25">
      <c r="B34" s="30"/>
      <c r="C34" s="31"/>
      <c r="D34" s="31"/>
      <c r="E34" s="31"/>
      <c r="F34" s="31"/>
      <c r="G34" s="31"/>
    </row>
    <row r="35" spans="1:7" x14ac:dyDescent="0.25">
      <c r="B35" s="30"/>
      <c r="C35" s="31"/>
      <c r="D35" s="31"/>
      <c r="E35" s="31"/>
      <c r="F35" s="31"/>
      <c r="G35" s="31"/>
    </row>
    <row r="36" spans="1:7" x14ac:dyDescent="0.25">
      <c r="D36" s="5"/>
      <c r="E36" s="5"/>
      <c r="F36" s="5"/>
      <c r="G36" s="5"/>
    </row>
  </sheetData>
  <phoneticPr fontId="12" type="noConversion"/>
  <dataValidations count="1">
    <dataValidation type="list" showInputMessage="1" showErrorMessage="1" errorTitle="Invalid Entry" error="Enter a value from the NPS list in Table 1." sqref="B28 B15:G15" xr:uid="{00000000-0002-0000-0200-000000000000}">
      <formula1>$I$17:$I$31</formula1>
    </dataValidation>
  </dataValidations>
  <pageMargins left="0.75" right="0.75" top="0.5" bottom="0.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Single Relief Device</vt:lpstr>
      <vt:lpstr>Headered identical reliefs</vt:lpstr>
      <vt:lpstr>Headered different reliefs</vt:lpstr>
      <vt:lpstr>'Headered different reliefs'!Print_Area</vt:lpstr>
      <vt:lpstr>'Headered identical reliefs'!Print_Area</vt:lpstr>
      <vt:lpstr>'Single Relief Device'!Print_Area</vt:lpstr>
    </vt:vector>
  </TitlesOfParts>
  <Company>The Trane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Guckelberger</dc:creator>
  <cp:lastModifiedBy>Murphy, John</cp:lastModifiedBy>
  <cp:lastPrinted>2020-09-05T05:00:42Z</cp:lastPrinted>
  <dcterms:created xsi:type="dcterms:W3CDTF">2002-06-26T18:47:28Z</dcterms:created>
  <dcterms:modified xsi:type="dcterms:W3CDTF">2024-11-21T17:54:52Z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07e308cf-0c08-4843-90d1-31d19a6e7663</vt:lpwstr>
  </property>
  <property fmtid="{D5CDD505-2E9C-101B-9397-08002B2CF9AE}" pid="3" name="CLASSIFICATION">
    <vt:lpwstr>IR-DC-3</vt:lpwstr>
  </property>
  <property fmtid="{D5CDD505-2E9C-101B-9397-08002B2CF9AE}" pid="4" name="MSIP_Label_162b2348-a379-47d7-bf25-1402d7b08038_Enabled">
    <vt:lpwstr>true</vt:lpwstr>
  </property>
  <property fmtid="{D5CDD505-2E9C-101B-9397-08002B2CF9AE}" pid="5" name="MSIP_Label_162b2348-a379-47d7-bf25-1402d7b08038_SetDate">
    <vt:lpwstr>2023-04-04T11:54:22Z</vt:lpwstr>
  </property>
  <property fmtid="{D5CDD505-2E9C-101B-9397-08002B2CF9AE}" pid="6" name="MSIP_Label_162b2348-a379-47d7-bf25-1402d7b08038_Method">
    <vt:lpwstr>Standard</vt:lpwstr>
  </property>
  <property fmtid="{D5CDD505-2E9C-101B-9397-08002B2CF9AE}" pid="7" name="MSIP_Label_162b2348-a379-47d7-bf25-1402d7b08038_Name">
    <vt:lpwstr>Business</vt:lpwstr>
  </property>
  <property fmtid="{D5CDD505-2E9C-101B-9397-08002B2CF9AE}" pid="8" name="MSIP_Label_162b2348-a379-47d7-bf25-1402d7b08038_SiteId">
    <vt:lpwstr>abf9983b-ca77-4f20-9633-ca9c5a847041</vt:lpwstr>
  </property>
  <property fmtid="{D5CDD505-2E9C-101B-9397-08002B2CF9AE}" pid="9" name="MSIP_Label_162b2348-a379-47d7-bf25-1402d7b08038_ActionId">
    <vt:lpwstr>b87046a2-749a-4517-935e-f4cd6b66b638</vt:lpwstr>
  </property>
  <property fmtid="{D5CDD505-2E9C-101B-9397-08002B2CF9AE}" pid="10" name="MSIP_Label_162b2348-a379-47d7-bf25-1402d7b08038_ContentBits">
    <vt:lpwstr>0</vt:lpwstr>
  </property>
</Properties>
</file>